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Цвітана\Desktop\Волинська область\Іваничівський районний суд\"/>
    </mc:Choice>
  </mc:AlternateContent>
  <xr:revisionPtr revIDLastSave="0" documentId="13_ncr:1_{E2CF23CA-CC4B-46F9-A5EE-840C2A765FB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ORS_report" sheetId="1" r:id="rId1"/>
    <sheet name="recom" sheetId="2" r:id="rId2"/>
    <sheet name="Block1" sheetId="3" state="hidden" r:id="rId3"/>
    <sheet name="Block1_charts" sheetId="4" r:id="rId4"/>
    <sheet name="Block2" sheetId="5" state="hidden" r:id="rId5"/>
    <sheet name="Block2_charts" sheetId="6" r:id="rId6"/>
    <sheet name="Data" sheetId="7" r:id="rId7"/>
    <sheet name="Block3" sheetId="8" state="hidden" r:id="rId8"/>
    <sheet name="srv" sheetId="9" state="hidden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7" i="2" l="1"/>
  <c r="F82" i="8" l="1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2" i="8"/>
  <c r="G52" i="8" s="1"/>
  <c r="F51" i="8"/>
  <c r="G51" i="8" s="1"/>
  <c r="F50" i="8"/>
  <c r="G50" i="8" s="1"/>
  <c r="F49" i="8"/>
  <c r="G49" i="8" s="1"/>
  <c r="F48" i="8"/>
  <c r="G48" i="8" s="1"/>
  <c r="F47" i="8"/>
  <c r="G47" i="8" s="1"/>
  <c r="B42" i="8"/>
  <c r="C42" i="8" s="1"/>
  <c r="B41" i="8"/>
  <c r="C41" i="8" s="1"/>
  <c r="B40" i="8"/>
  <c r="C40" i="8" s="1"/>
  <c r="B35" i="8"/>
  <c r="C35" i="8" s="1"/>
  <c r="B34" i="8"/>
  <c r="C34" i="8" s="1"/>
  <c r="B33" i="8"/>
  <c r="C33" i="8" s="1"/>
  <c r="B28" i="8"/>
  <c r="C28" i="8" s="1"/>
  <c r="B27" i="8"/>
  <c r="C27" i="8" s="1"/>
  <c r="B26" i="8"/>
  <c r="C26" i="8" s="1"/>
  <c r="B25" i="8"/>
  <c r="C25" i="8" s="1"/>
  <c r="B24" i="8"/>
  <c r="C24" i="8" s="1"/>
  <c r="B23" i="8"/>
  <c r="C23" i="8" s="1"/>
  <c r="B22" i="8"/>
  <c r="C22" i="8" s="1"/>
  <c r="B17" i="8"/>
  <c r="C17" i="8" s="1"/>
  <c r="B16" i="8"/>
  <c r="C16" i="8" s="1"/>
  <c r="B15" i="8"/>
  <c r="C15" i="8" s="1"/>
  <c r="B14" i="8"/>
  <c r="C14" i="8" s="1"/>
  <c r="B9" i="8"/>
  <c r="C9" i="8" s="1"/>
  <c r="B8" i="8"/>
  <c r="C8" i="8" s="1"/>
  <c r="B7" i="8"/>
  <c r="C7" i="8" s="1"/>
  <c r="CA33" i="7"/>
  <c r="CA32" i="7"/>
  <c r="CA31" i="7"/>
  <c r="CA30" i="7"/>
  <c r="CA29" i="7"/>
  <c r="CA28" i="7"/>
  <c r="CA27" i="7"/>
  <c r="CA26" i="7"/>
  <c r="CA25" i="7"/>
  <c r="CA24" i="7"/>
  <c r="CA23" i="7"/>
  <c r="CA22" i="7"/>
  <c r="CA21" i="7"/>
  <c r="CA20" i="7"/>
  <c r="CA19" i="7"/>
  <c r="CA18" i="7"/>
  <c r="CA17" i="7"/>
  <c r="CA16" i="7"/>
  <c r="CA15" i="7"/>
  <c r="CA14" i="7"/>
  <c r="CA13" i="7"/>
  <c r="CA12" i="7"/>
  <c r="CA11" i="7"/>
  <c r="CA10" i="7"/>
  <c r="CA9" i="7"/>
  <c r="CA8" i="7"/>
  <c r="CA7" i="7"/>
  <c r="CA6" i="7"/>
  <c r="CA5" i="7"/>
  <c r="CA4" i="7"/>
  <c r="CA3" i="7"/>
  <c r="B98" i="5"/>
  <c r="B97" i="5"/>
  <c r="B96" i="5"/>
  <c r="G92" i="5"/>
  <c r="F92" i="5"/>
  <c r="E92" i="5"/>
  <c r="D92" i="5"/>
  <c r="C92" i="5"/>
  <c r="B92" i="5"/>
  <c r="H92" i="5" s="1"/>
  <c r="G91" i="5"/>
  <c r="F91" i="5"/>
  <c r="E91" i="5"/>
  <c r="D91" i="5"/>
  <c r="C91" i="5"/>
  <c r="H91" i="5" s="1"/>
  <c r="H93" i="5" s="1"/>
  <c r="B91" i="5"/>
  <c r="D88" i="5"/>
  <c r="C88" i="5"/>
  <c r="B88" i="5"/>
  <c r="D87" i="5"/>
  <c r="C87" i="5"/>
  <c r="B87" i="5"/>
  <c r="D86" i="5"/>
  <c r="C86" i="5"/>
  <c r="B86" i="5"/>
  <c r="D85" i="5"/>
  <c r="C85" i="5"/>
  <c r="B85" i="5"/>
  <c r="G78" i="5"/>
  <c r="F78" i="5"/>
  <c r="E78" i="5"/>
  <c r="D78" i="5"/>
  <c r="C78" i="5"/>
  <c r="H78" i="5" s="1"/>
  <c r="B78" i="5"/>
  <c r="G77" i="5"/>
  <c r="F77" i="5"/>
  <c r="E77" i="5"/>
  <c r="D77" i="5"/>
  <c r="H77" i="5" s="1"/>
  <c r="C77" i="5"/>
  <c r="B77" i="5"/>
  <c r="G76" i="5"/>
  <c r="F76" i="5"/>
  <c r="E76" i="5"/>
  <c r="D76" i="5"/>
  <c r="C76" i="5"/>
  <c r="B76" i="5"/>
  <c r="H76" i="5" s="1"/>
  <c r="G75" i="5"/>
  <c r="F75" i="5"/>
  <c r="E75" i="5"/>
  <c r="D75" i="5"/>
  <c r="C75" i="5"/>
  <c r="B75" i="5"/>
  <c r="H75" i="5" s="1"/>
  <c r="G74" i="5"/>
  <c r="F74" i="5"/>
  <c r="E74" i="5"/>
  <c r="D74" i="5"/>
  <c r="C74" i="5"/>
  <c r="H74" i="5" s="1"/>
  <c r="B74" i="5"/>
  <c r="G66" i="5"/>
  <c r="F66" i="5"/>
  <c r="E66" i="5"/>
  <c r="D66" i="5"/>
  <c r="C66" i="5"/>
  <c r="H66" i="5" s="1"/>
  <c r="B66" i="5"/>
  <c r="G65" i="5"/>
  <c r="F65" i="5"/>
  <c r="E65" i="5"/>
  <c r="D65" i="5"/>
  <c r="H65" i="5" s="1"/>
  <c r="C65" i="5"/>
  <c r="B65" i="5"/>
  <c r="G64" i="5"/>
  <c r="F64" i="5"/>
  <c r="E64" i="5"/>
  <c r="D64" i="5"/>
  <c r="C64" i="5"/>
  <c r="B64" i="5"/>
  <c r="H64" i="5" s="1"/>
  <c r="G63" i="5"/>
  <c r="F63" i="5"/>
  <c r="E63" i="5"/>
  <c r="D63" i="5"/>
  <c r="C63" i="5"/>
  <c r="B63" i="5"/>
  <c r="H63" i="5" s="1"/>
  <c r="G56" i="5"/>
  <c r="F56" i="5"/>
  <c r="E56" i="5"/>
  <c r="D56" i="5"/>
  <c r="C56" i="5"/>
  <c r="B56" i="5"/>
  <c r="H56" i="5" s="1"/>
  <c r="B47" i="9" s="1"/>
  <c r="G55" i="5"/>
  <c r="F55" i="5"/>
  <c r="E55" i="5"/>
  <c r="D55" i="5"/>
  <c r="C55" i="5"/>
  <c r="H55" i="5" s="1"/>
  <c r="B46" i="9" s="1"/>
  <c r="B55" i="5"/>
  <c r="G54" i="5"/>
  <c r="F54" i="5"/>
  <c r="E54" i="5"/>
  <c r="D54" i="5"/>
  <c r="H54" i="5" s="1"/>
  <c r="B45" i="9" s="1"/>
  <c r="C54" i="5"/>
  <c r="B54" i="5"/>
  <c r="G52" i="5"/>
  <c r="F52" i="5"/>
  <c r="E52" i="5"/>
  <c r="D52" i="5"/>
  <c r="C52" i="5"/>
  <c r="B52" i="5"/>
  <c r="H52" i="5" s="1"/>
  <c r="B44" i="9" s="1"/>
  <c r="G51" i="5"/>
  <c r="F51" i="5"/>
  <c r="E51" i="5"/>
  <c r="D51" i="5"/>
  <c r="C51" i="5"/>
  <c r="B51" i="5"/>
  <c r="H51" i="5" s="1"/>
  <c r="G44" i="5"/>
  <c r="F44" i="5"/>
  <c r="E44" i="5"/>
  <c r="D44" i="5"/>
  <c r="C44" i="5"/>
  <c r="B44" i="5"/>
  <c r="H44" i="5" s="1"/>
  <c r="B40" i="9" s="1"/>
  <c r="G43" i="5"/>
  <c r="E43" i="5"/>
  <c r="G42" i="5"/>
  <c r="F42" i="5"/>
  <c r="E42" i="5"/>
  <c r="D42" i="5"/>
  <c r="C42" i="5"/>
  <c r="B42" i="5"/>
  <c r="H42" i="5" s="1"/>
  <c r="B39" i="9" s="1"/>
  <c r="G41" i="5"/>
  <c r="F41" i="5"/>
  <c r="E41" i="5"/>
  <c r="D41" i="5"/>
  <c r="C41" i="5"/>
  <c r="B41" i="5"/>
  <c r="H41" i="5" s="1"/>
  <c r="B38" i="9" s="1"/>
  <c r="G40" i="5"/>
  <c r="F40" i="5"/>
  <c r="E40" i="5"/>
  <c r="D40" i="5"/>
  <c r="C40" i="5"/>
  <c r="H40" i="5" s="1"/>
  <c r="B37" i="9" s="1"/>
  <c r="B40" i="5"/>
  <c r="G39" i="5"/>
  <c r="F39" i="5"/>
  <c r="E39" i="5"/>
  <c r="D39" i="5"/>
  <c r="H39" i="5" s="1"/>
  <c r="B36" i="9" s="1"/>
  <c r="C39" i="5"/>
  <c r="B39" i="5"/>
  <c r="G38" i="5"/>
  <c r="F38" i="5"/>
  <c r="E38" i="5"/>
  <c r="D38" i="5"/>
  <c r="C38" i="5"/>
  <c r="B38" i="5"/>
  <c r="H38" i="5" s="1"/>
  <c r="B35" i="9" s="1"/>
  <c r="G36" i="5"/>
  <c r="F36" i="5"/>
  <c r="E36" i="5"/>
  <c r="D36" i="5"/>
  <c r="C36" i="5"/>
  <c r="B36" i="5"/>
  <c r="H36" i="5" s="1"/>
  <c r="G29" i="5"/>
  <c r="F29" i="5"/>
  <c r="E29" i="5"/>
  <c r="D29" i="5"/>
  <c r="C29" i="5"/>
  <c r="B29" i="5"/>
  <c r="H29" i="5" s="1"/>
  <c r="B32" i="9" s="1"/>
  <c r="G28" i="5"/>
  <c r="F28" i="5"/>
  <c r="E28" i="5"/>
  <c r="D28" i="5"/>
  <c r="C28" i="5"/>
  <c r="B28" i="5"/>
  <c r="H28" i="5" s="1"/>
  <c r="B31" i="9" s="1"/>
  <c r="G27" i="5"/>
  <c r="F27" i="5"/>
  <c r="E27" i="5"/>
  <c r="D27" i="5"/>
  <c r="H27" i="5" s="1"/>
  <c r="B30" i="9" s="1"/>
  <c r="C27" i="5"/>
  <c r="B27" i="5"/>
  <c r="G26" i="5"/>
  <c r="F26" i="5"/>
  <c r="E26" i="5"/>
  <c r="D26" i="5"/>
  <c r="C26" i="5"/>
  <c r="H26" i="5" s="1"/>
  <c r="B26" i="5"/>
  <c r="G16" i="5"/>
  <c r="F16" i="5"/>
  <c r="E16" i="5"/>
  <c r="D16" i="5"/>
  <c r="C16" i="5"/>
  <c r="H16" i="5" s="1"/>
  <c r="B27" i="9" s="1"/>
  <c r="B16" i="5"/>
  <c r="G15" i="5"/>
  <c r="F15" i="5"/>
  <c r="E15" i="5"/>
  <c r="D15" i="5"/>
  <c r="C15" i="5"/>
  <c r="B15" i="5"/>
  <c r="H15" i="5" s="1"/>
  <c r="B26" i="9" s="1"/>
  <c r="G14" i="5"/>
  <c r="F14" i="5"/>
  <c r="E14" i="5"/>
  <c r="D14" i="5"/>
  <c r="C14" i="5"/>
  <c r="B14" i="5"/>
  <c r="H14" i="5" s="1"/>
  <c r="B25" i="9" s="1"/>
  <c r="G13" i="5"/>
  <c r="F13" i="5"/>
  <c r="E13" i="5"/>
  <c r="D13" i="5"/>
  <c r="H13" i="5" s="1"/>
  <c r="B24" i="9" s="1"/>
  <c r="C13" i="5"/>
  <c r="B13" i="5"/>
  <c r="G12" i="5"/>
  <c r="F12" i="5"/>
  <c r="E12" i="5"/>
  <c r="D12" i="5"/>
  <c r="C12" i="5"/>
  <c r="H12" i="5" s="1"/>
  <c r="B23" i="9" s="1"/>
  <c r="B12" i="5"/>
  <c r="G11" i="5"/>
  <c r="F11" i="5"/>
  <c r="E11" i="5"/>
  <c r="D11" i="5"/>
  <c r="C11" i="5"/>
  <c r="B11" i="5"/>
  <c r="H11" i="5" s="1"/>
  <c r="B22" i="9" s="1"/>
  <c r="G10" i="5"/>
  <c r="F10" i="5"/>
  <c r="E10" i="5"/>
  <c r="D10" i="5"/>
  <c r="C10" i="5"/>
  <c r="B10" i="5"/>
  <c r="H10" i="5" s="1"/>
  <c r="B21" i="9" s="1"/>
  <c r="G9" i="5"/>
  <c r="F9" i="5"/>
  <c r="E9" i="5"/>
  <c r="D9" i="5"/>
  <c r="H9" i="5" s="1"/>
  <c r="B20" i="9" s="1"/>
  <c r="C9" i="5"/>
  <c r="B9" i="5"/>
  <c r="G8" i="5"/>
  <c r="F8" i="5"/>
  <c r="E8" i="5"/>
  <c r="D8" i="5"/>
  <c r="C8" i="5"/>
  <c r="H8" i="5" s="1"/>
  <c r="B8" i="5"/>
  <c r="F88" i="3"/>
  <c r="F15" i="9" s="1"/>
  <c r="F87" i="3"/>
  <c r="F14" i="9" s="1"/>
  <c r="F86" i="3"/>
  <c r="F13" i="9" s="1"/>
  <c r="F85" i="3"/>
  <c r="F12" i="9" s="1"/>
  <c r="F84" i="3"/>
  <c r="F11" i="9" s="1"/>
  <c r="F83" i="3"/>
  <c r="F10" i="9" s="1"/>
  <c r="F82" i="3"/>
  <c r="F9" i="9" s="1"/>
  <c r="F81" i="3"/>
  <c r="F8" i="9" s="1"/>
  <c r="F80" i="3"/>
  <c r="F7" i="9" s="1"/>
  <c r="F79" i="3"/>
  <c r="F6" i="9" s="1"/>
  <c r="F78" i="3"/>
  <c r="F5" i="9" s="1"/>
  <c r="F77" i="3"/>
  <c r="F4" i="9" s="1"/>
  <c r="F76" i="3"/>
  <c r="F3" i="9" s="1"/>
  <c r="F75" i="3"/>
  <c r="F2" i="9" s="1"/>
  <c r="F74" i="3"/>
  <c r="F1" i="9" s="1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G59" i="3"/>
  <c r="F59" i="3"/>
  <c r="G58" i="3"/>
  <c r="F58" i="3"/>
  <c r="G57" i="3"/>
  <c r="F57" i="3"/>
  <c r="G56" i="3"/>
  <c r="F56" i="3"/>
  <c r="G55" i="3"/>
  <c r="F55" i="3"/>
  <c r="G54" i="3"/>
  <c r="F54" i="3"/>
  <c r="F60" i="3" s="1"/>
  <c r="G51" i="3"/>
  <c r="F51" i="3"/>
  <c r="G50" i="3"/>
  <c r="F50" i="3"/>
  <c r="G49" i="3"/>
  <c r="F49" i="3"/>
  <c r="G48" i="3"/>
  <c r="F48" i="3"/>
  <c r="G45" i="3"/>
  <c r="F45" i="3"/>
  <c r="G44" i="3"/>
  <c r="F44" i="3"/>
  <c r="G43" i="3"/>
  <c r="F43" i="3"/>
  <c r="G42" i="3"/>
  <c r="F42" i="3"/>
  <c r="C39" i="3"/>
  <c r="B39" i="3"/>
  <c r="G38" i="3"/>
  <c r="F38" i="3"/>
  <c r="C38" i="3"/>
  <c r="B38" i="3"/>
  <c r="G37" i="3"/>
  <c r="F37" i="3"/>
  <c r="C37" i="3"/>
  <c r="B37" i="3"/>
  <c r="G36" i="3"/>
  <c r="F36" i="3"/>
  <c r="C36" i="3"/>
  <c r="B36" i="3"/>
  <c r="G35" i="3"/>
  <c r="F35" i="3"/>
  <c r="C35" i="3"/>
  <c r="B35" i="3"/>
  <c r="G32" i="3"/>
  <c r="F32" i="3"/>
  <c r="G31" i="3"/>
  <c r="F31" i="3"/>
  <c r="G30" i="3"/>
  <c r="F30" i="3"/>
  <c r="G29" i="3"/>
  <c r="F29" i="3"/>
  <c r="G26" i="3"/>
  <c r="F26" i="3"/>
  <c r="G25" i="3"/>
  <c r="F25" i="3"/>
  <c r="G24" i="3"/>
  <c r="F24" i="3"/>
  <c r="G23" i="3"/>
  <c r="F23" i="3"/>
  <c r="G22" i="3"/>
  <c r="F22" i="3"/>
  <c r="G21" i="3"/>
  <c r="F21" i="3"/>
  <c r="C18" i="3"/>
  <c r="B18" i="3"/>
  <c r="C17" i="3"/>
  <c r="B17" i="3"/>
  <c r="C14" i="3"/>
  <c r="B14" i="3"/>
  <c r="G13" i="3"/>
  <c r="F13" i="3"/>
  <c r="C13" i="3"/>
  <c r="B13" i="3"/>
  <c r="G12" i="3"/>
  <c r="F12" i="3"/>
  <c r="C12" i="3"/>
  <c r="B12" i="3"/>
  <c r="C9" i="3"/>
  <c r="B9" i="3"/>
  <c r="C8" i="3"/>
  <c r="B8" i="3"/>
  <c r="G7" i="3"/>
  <c r="F7" i="3"/>
  <c r="C7" i="3"/>
  <c r="B7" i="3"/>
  <c r="G6" i="3"/>
  <c r="F6" i="3"/>
  <c r="C6" i="3"/>
  <c r="B6" i="3"/>
  <c r="A6" i="2"/>
  <c r="A5" i="2"/>
  <c r="A4" i="2"/>
  <c r="A3" i="2"/>
  <c r="D204" i="1"/>
  <c r="D203" i="1"/>
  <c r="D202" i="1"/>
  <c r="D201" i="1"/>
  <c r="D200" i="1"/>
  <c r="D199" i="1"/>
  <c r="D205" i="1" s="1"/>
  <c r="D196" i="1"/>
  <c r="C196" i="1"/>
  <c r="D195" i="1"/>
  <c r="C195" i="1"/>
  <c r="D194" i="1"/>
  <c r="C194" i="1"/>
  <c r="D190" i="1"/>
  <c r="C190" i="1"/>
  <c r="D189" i="1"/>
  <c r="C189" i="1"/>
  <c r="D188" i="1"/>
  <c r="C188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4" i="1"/>
  <c r="C174" i="1"/>
  <c r="D173" i="1"/>
  <c r="C173" i="1"/>
  <c r="D172" i="1"/>
  <c r="C172" i="1"/>
  <c r="D171" i="1"/>
  <c r="C171" i="1"/>
  <c r="D167" i="1"/>
  <c r="C167" i="1"/>
  <c r="D166" i="1"/>
  <c r="C166" i="1"/>
  <c r="D165" i="1"/>
  <c r="C165" i="1"/>
  <c r="J156" i="1"/>
  <c r="J154" i="1"/>
  <c r="J153" i="1"/>
  <c r="J152" i="1"/>
  <c r="J151" i="1"/>
  <c r="H151" i="1"/>
  <c r="J150" i="1"/>
  <c r="H150" i="1"/>
  <c r="J149" i="1"/>
  <c r="H149" i="1"/>
  <c r="J148" i="1"/>
  <c r="J155" i="1" s="1"/>
  <c r="J142" i="1"/>
  <c r="J141" i="1"/>
  <c r="J140" i="1"/>
  <c r="J139" i="1"/>
  <c r="J143" i="1" s="1"/>
  <c r="J138" i="1"/>
  <c r="J132" i="1"/>
  <c r="J131" i="1"/>
  <c r="J130" i="1"/>
  <c r="J129" i="1"/>
  <c r="J133" i="1" s="1"/>
  <c r="J123" i="1"/>
  <c r="J122" i="1"/>
  <c r="J121" i="1"/>
  <c r="J119" i="1"/>
  <c r="J118" i="1"/>
  <c r="J124" i="1" s="1"/>
  <c r="J112" i="1"/>
  <c r="J111" i="1"/>
  <c r="J110" i="1"/>
  <c r="J109" i="1"/>
  <c r="J108" i="1"/>
  <c r="J107" i="1"/>
  <c r="J106" i="1"/>
  <c r="J104" i="1"/>
  <c r="J113" i="1" s="1"/>
  <c r="J98" i="1"/>
  <c r="J97" i="1"/>
  <c r="J96" i="1"/>
  <c r="J95" i="1"/>
  <c r="J99" i="1" s="1"/>
  <c r="J87" i="1"/>
  <c r="J86" i="1"/>
  <c r="J85" i="1"/>
  <c r="J84" i="1"/>
  <c r="J83" i="1"/>
  <c r="J82" i="1"/>
  <c r="J81" i="1"/>
  <c r="J80" i="1"/>
  <c r="J79" i="1"/>
  <c r="J88" i="1" s="1"/>
  <c r="J74" i="1" s="1"/>
  <c r="I71" i="1"/>
  <c r="H71" i="1"/>
  <c r="J71" i="1" s="1"/>
  <c r="G71" i="1"/>
  <c r="F71" i="1"/>
  <c r="E71" i="1"/>
  <c r="D71" i="1"/>
  <c r="C71" i="1"/>
  <c r="I70" i="1"/>
  <c r="H70" i="1"/>
  <c r="J70" i="1" s="1"/>
  <c r="G70" i="1"/>
  <c r="F70" i="1"/>
  <c r="E70" i="1"/>
  <c r="D70" i="1"/>
  <c r="C70" i="1"/>
  <c r="I69" i="1"/>
  <c r="H69" i="1"/>
  <c r="J69" i="1" s="1"/>
  <c r="G69" i="1"/>
  <c r="F69" i="1"/>
  <c r="E69" i="1"/>
  <c r="D69" i="1"/>
  <c r="C69" i="1"/>
  <c r="I68" i="1"/>
  <c r="H68" i="1"/>
  <c r="J68" i="1" s="1"/>
  <c r="G68" i="1"/>
  <c r="F68" i="1"/>
  <c r="E68" i="1"/>
  <c r="D68" i="1"/>
  <c r="C68" i="1"/>
  <c r="I67" i="1"/>
  <c r="H67" i="1"/>
  <c r="J67" i="1" s="1"/>
  <c r="G67" i="1"/>
  <c r="F67" i="1"/>
  <c r="E67" i="1"/>
  <c r="D67" i="1"/>
  <c r="C67" i="1"/>
  <c r="I66" i="1"/>
  <c r="H66" i="1"/>
  <c r="J66" i="1" s="1"/>
  <c r="G66" i="1"/>
  <c r="F66" i="1"/>
  <c r="E66" i="1"/>
  <c r="D66" i="1"/>
  <c r="C66" i="1"/>
  <c r="I65" i="1"/>
  <c r="H65" i="1"/>
  <c r="J65" i="1" s="1"/>
  <c r="G65" i="1"/>
  <c r="F65" i="1"/>
  <c r="E65" i="1"/>
  <c r="D65" i="1"/>
  <c r="C65" i="1"/>
  <c r="I64" i="1"/>
  <c r="H64" i="1"/>
  <c r="J64" i="1" s="1"/>
  <c r="G64" i="1"/>
  <c r="F64" i="1"/>
  <c r="E64" i="1"/>
  <c r="D64" i="1"/>
  <c r="C64" i="1"/>
  <c r="I63" i="1"/>
  <c r="H63" i="1"/>
  <c r="J63" i="1" s="1"/>
  <c r="G63" i="1"/>
  <c r="F63" i="1"/>
  <c r="E63" i="1"/>
  <c r="D63" i="1"/>
  <c r="C63" i="1"/>
  <c r="I62" i="1"/>
  <c r="H62" i="1"/>
  <c r="J62" i="1" s="1"/>
  <c r="G62" i="1"/>
  <c r="F62" i="1"/>
  <c r="E62" i="1"/>
  <c r="D62" i="1"/>
  <c r="C62" i="1"/>
  <c r="I61" i="1"/>
  <c r="H61" i="1"/>
  <c r="J61" i="1" s="1"/>
  <c r="G61" i="1"/>
  <c r="F61" i="1"/>
  <c r="E61" i="1"/>
  <c r="D61" i="1"/>
  <c r="C61" i="1"/>
  <c r="I60" i="1"/>
  <c r="H60" i="1"/>
  <c r="J60" i="1" s="1"/>
  <c r="G60" i="1"/>
  <c r="F60" i="1"/>
  <c r="E60" i="1"/>
  <c r="D60" i="1"/>
  <c r="C60" i="1"/>
  <c r="I59" i="1"/>
  <c r="H59" i="1"/>
  <c r="J59" i="1" s="1"/>
  <c r="G59" i="1"/>
  <c r="F59" i="1"/>
  <c r="E59" i="1"/>
  <c r="D59" i="1"/>
  <c r="C59" i="1"/>
  <c r="I58" i="1"/>
  <c r="H58" i="1"/>
  <c r="J58" i="1" s="1"/>
  <c r="G58" i="1"/>
  <c r="F58" i="1"/>
  <c r="E58" i="1"/>
  <c r="D58" i="1"/>
  <c r="C58" i="1"/>
  <c r="I57" i="1"/>
  <c r="H57" i="1"/>
  <c r="J57" i="1" s="1"/>
  <c r="G57" i="1"/>
  <c r="F57" i="1"/>
  <c r="E57" i="1"/>
  <c r="D57" i="1"/>
  <c r="C57" i="1"/>
  <c r="I56" i="1"/>
  <c r="H56" i="1"/>
  <c r="J56" i="1" s="1"/>
  <c r="G56" i="1"/>
  <c r="F56" i="1"/>
  <c r="E56" i="1"/>
  <c r="D56" i="1"/>
  <c r="C56" i="1"/>
  <c r="I55" i="1"/>
  <c r="H55" i="1"/>
  <c r="J55" i="1" s="1"/>
  <c r="G55" i="1"/>
  <c r="F55" i="1"/>
  <c r="E55" i="1"/>
  <c r="D55" i="1"/>
  <c r="C55" i="1"/>
  <c r="I54" i="1"/>
  <c r="H54" i="1"/>
  <c r="J54" i="1" s="1"/>
  <c r="G54" i="1"/>
  <c r="F54" i="1"/>
  <c r="E54" i="1"/>
  <c r="D54" i="1"/>
  <c r="C54" i="1"/>
  <c r="I53" i="1"/>
  <c r="H53" i="1"/>
  <c r="J53" i="1" s="1"/>
  <c r="G53" i="1"/>
  <c r="F53" i="1"/>
  <c r="E53" i="1"/>
  <c r="D53" i="1"/>
  <c r="C53" i="1"/>
  <c r="I52" i="1"/>
  <c r="H52" i="1"/>
  <c r="J52" i="1" s="1"/>
  <c r="G52" i="1"/>
  <c r="F52" i="1"/>
  <c r="E52" i="1"/>
  <c r="D52" i="1"/>
  <c r="C52" i="1"/>
  <c r="I51" i="1"/>
  <c r="H51" i="1"/>
  <c r="J51" i="1" s="1"/>
  <c r="G51" i="1"/>
  <c r="F51" i="1"/>
  <c r="E51" i="1"/>
  <c r="D51" i="1"/>
  <c r="C51" i="1"/>
  <c r="I50" i="1"/>
  <c r="H50" i="1"/>
  <c r="J50" i="1" s="1"/>
  <c r="G50" i="1"/>
  <c r="F50" i="1"/>
  <c r="E50" i="1"/>
  <c r="D50" i="1"/>
  <c r="C50" i="1"/>
  <c r="I49" i="1"/>
  <c r="H49" i="1"/>
  <c r="J49" i="1" s="1"/>
  <c r="G49" i="1"/>
  <c r="F49" i="1"/>
  <c r="E49" i="1"/>
  <c r="D49" i="1"/>
  <c r="C49" i="1"/>
  <c r="I48" i="1"/>
  <c r="H48" i="1"/>
  <c r="J48" i="1" s="1"/>
  <c r="G48" i="1"/>
  <c r="F48" i="1"/>
  <c r="E48" i="1"/>
  <c r="D48" i="1"/>
  <c r="C48" i="1"/>
  <c r="I47" i="1"/>
  <c r="H47" i="1"/>
  <c r="J47" i="1" s="1"/>
  <c r="G47" i="1"/>
  <c r="F47" i="1"/>
  <c r="E47" i="1"/>
  <c r="D47" i="1"/>
  <c r="C47" i="1"/>
  <c r="I46" i="1"/>
  <c r="H46" i="1"/>
  <c r="J46" i="1" s="1"/>
  <c r="G46" i="1"/>
  <c r="F46" i="1"/>
  <c r="E46" i="1"/>
  <c r="D46" i="1"/>
  <c r="C46" i="1"/>
  <c r="I45" i="1"/>
  <c r="H45" i="1"/>
  <c r="J45" i="1" s="1"/>
  <c r="G45" i="1"/>
  <c r="F45" i="1"/>
  <c r="E45" i="1"/>
  <c r="D45" i="1"/>
  <c r="C45" i="1"/>
  <c r="C40" i="1"/>
  <c r="D40" i="1" s="1"/>
  <c r="D39" i="1"/>
  <c r="C39" i="1"/>
  <c r="C38" i="1"/>
  <c r="D38" i="1" s="1"/>
  <c r="D37" i="1"/>
  <c r="C37" i="1"/>
  <c r="C35" i="1"/>
  <c r="D35" i="1" s="1"/>
  <c r="D34" i="1"/>
  <c r="C34" i="1"/>
  <c r="C33" i="1"/>
  <c r="D33" i="1" s="1"/>
  <c r="D32" i="1"/>
  <c r="C32" i="1"/>
  <c r="C31" i="1"/>
  <c r="D31" i="1" s="1"/>
  <c r="D29" i="1"/>
  <c r="C29" i="1"/>
  <c r="C28" i="1"/>
  <c r="D28" i="1" s="1"/>
  <c r="D27" i="1"/>
  <c r="C27" i="1"/>
  <c r="C26" i="1"/>
  <c r="D26" i="1" s="1"/>
  <c r="D24" i="1"/>
  <c r="C24" i="1"/>
  <c r="C23" i="1"/>
  <c r="D23" i="1" s="1"/>
  <c r="D22" i="1"/>
  <c r="C22" i="1"/>
  <c r="C20" i="1"/>
  <c r="D20" i="1" s="1"/>
  <c r="D19" i="1"/>
  <c r="C19" i="1"/>
  <c r="C18" i="1"/>
  <c r="D18" i="1" s="1"/>
  <c r="D17" i="1"/>
  <c r="C17" i="1"/>
  <c r="C16" i="1"/>
  <c r="D16" i="1" s="1"/>
  <c r="D15" i="1"/>
  <c r="C15" i="1"/>
  <c r="C13" i="1"/>
  <c r="D13" i="1" s="1"/>
  <c r="D12" i="1"/>
  <c r="C12" i="1"/>
  <c r="C10" i="1"/>
  <c r="D10" i="1" s="1"/>
  <c r="D9" i="1"/>
  <c r="C9" i="1"/>
  <c r="C7" i="1"/>
  <c r="D7" i="1" s="1"/>
  <c r="D6" i="1"/>
  <c r="C6" i="1"/>
  <c r="C5" i="1"/>
  <c r="D5" i="1" s="1"/>
  <c r="D4" i="1"/>
  <c r="C4" i="1"/>
  <c r="D2" i="1"/>
  <c r="H67" i="5" l="1"/>
  <c r="H30" i="5"/>
  <c r="B29" i="9"/>
  <c r="B19" i="9"/>
  <c r="H17" i="5"/>
  <c r="H79" i="5"/>
  <c r="H45" i="5"/>
  <c r="B34" i="9"/>
  <c r="B43" i="9"/>
  <c r="H57" i="5"/>
  <c r="F53" i="8"/>
  <c r="H3" i="5" l="1"/>
</calcChain>
</file>

<file path=xl/sharedStrings.xml><?xml version="1.0" encoding="utf-8"?>
<sst xmlns="http://schemas.openxmlformats.org/spreadsheetml/2006/main" count="1137" uniqueCount="336">
  <si>
    <t>Рекомендації учасників судових проваджень</t>
  </si>
  <si>
    <t>Кількість респондентів</t>
  </si>
  <si>
    <t>Блок 1 Загальна характеристика респондента</t>
  </si>
  <si>
    <t>1. Вік:</t>
  </si>
  <si>
    <t>Кількість</t>
  </si>
  <si>
    <t>%</t>
  </si>
  <si>
    <t>2. Стать:</t>
  </si>
  <si>
    <t>18-25 років</t>
  </si>
  <si>
    <t xml:space="preserve">Розподіл за віковими характеристиками </t>
  </si>
  <si>
    <t>Чоловіча</t>
  </si>
  <si>
    <t>26-39 років</t>
  </si>
  <si>
    <t>Жіноча</t>
  </si>
  <si>
    <t>40-59 років</t>
  </si>
  <si>
    <t>60 років і старше</t>
  </si>
  <si>
    <t>3. Рівень освіти:</t>
  </si>
  <si>
    <t>4. Наявність вищої юридичної освіти:</t>
  </si>
  <si>
    <t>Середня та неповна середня</t>
  </si>
  <si>
    <t>Розподіл за статтю</t>
  </si>
  <si>
    <t>Так</t>
  </si>
  <si>
    <t>Вища та неповна вища</t>
  </si>
  <si>
    <t>Ні</t>
  </si>
  <si>
    <t>Інше</t>
  </si>
  <si>
    <t>5. Де Ви проживаєте:</t>
  </si>
  <si>
    <t>Географічний розподіл</t>
  </si>
  <si>
    <t>В населеному пункті, де розташований цей суд</t>
  </si>
  <si>
    <t>Респоненти, що проживають населеному пункті, де розташований цей суд</t>
  </si>
  <si>
    <t>В іншому населеному пункті</t>
  </si>
  <si>
    <t xml:space="preserve">6. Як Ви оцінюєте матеріальне становище своєї родини? </t>
  </si>
  <si>
    <t>Змушені економити на харчуванні</t>
  </si>
  <si>
    <t>Розподіл за матеріальними статками</t>
  </si>
  <si>
    <t>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</si>
  <si>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>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</si>
  <si>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>Вистачає на харчування, одяг, взуття, дорогі покупки. Для таких покупок як машина, квартира необхідно заощадити або позичити</t>
  </si>
  <si>
    <t>Будь-які необхідні покупки можуть зробити в будь-який час</t>
  </si>
  <si>
    <t>Будь-які необхідні покупки можу зробити в будь-який час</t>
  </si>
  <si>
    <t>Не відповіли</t>
  </si>
  <si>
    <t>Рівень освіти</t>
  </si>
  <si>
    <t>7. Сьогодні у суді Ви:</t>
  </si>
  <si>
    <t>Є учасником судових проваджень і представляєте особисто себе</t>
  </si>
  <si>
    <t>Є учасником судових проваджень, але представляєте іншу фізичну чи юридичну особу (є адвокатом, представником прокуратури, юрист-консультантом)</t>
  </si>
  <si>
    <t>Не є учасником судових проваджень</t>
  </si>
  <si>
    <t>Розподіл за роллю в судовому процесі</t>
  </si>
  <si>
    <t>8. В якому з видів судового процесу в цьому суді Ви берете участь</t>
  </si>
  <si>
    <t>Розподіл за судовим процесом</t>
  </si>
  <si>
    <t>9. На якій стадії розгляду перебуває Ваша справа</t>
  </si>
  <si>
    <t>Цивільний процес</t>
  </si>
  <si>
    <t>Кримінальний процес</t>
  </si>
  <si>
    <t>Розгляд справи ще не розпочато</t>
  </si>
  <si>
    <t>Адміністративний процес</t>
  </si>
  <si>
    <t>Справа перебуває в процесі розгляду</t>
  </si>
  <si>
    <t>Господарський процес</t>
  </si>
  <si>
    <t>Справа про адміністративні правопорушення</t>
  </si>
  <si>
    <t>Розподіл за стадією розгляду справи</t>
  </si>
  <si>
    <t>Розгляд справи завершено (винесено рішення)</t>
  </si>
  <si>
    <t>10. Як часто за останні три (3) роки Ви були учасником судового процесу саме в цьому суді:</t>
  </si>
  <si>
    <t>Жодного разу</t>
  </si>
  <si>
    <t>Загальна оцінка якості роботи суду за 5-бальною шкалою.</t>
  </si>
  <si>
    <t>№</t>
  </si>
  <si>
    <t>Респондент за характеристикою</t>
  </si>
  <si>
    <t>1 (дуже погано)</t>
  </si>
  <si>
    <t>Середня інтегральна оцінка</t>
  </si>
  <si>
    <t>Один раз</t>
  </si>
  <si>
    <t>Респонденти віком 18-25 років</t>
  </si>
  <si>
    <t>2–5 разів</t>
  </si>
  <si>
    <t>6 разів і більше</t>
  </si>
  <si>
    <t>11. Як часто за останні три (3) роки цей суд приймав рішення по Вашій справі*?</t>
  </si>
  <si>
    <t>Респонденти віком віком 26–39 років</t>
  </si>
  <si>
    <t>12. Оцініть, будь ласка, за 5-бальною шкалою якість роботи цього суду (1 – дуже погано, 5 – відмінно, 9 – КН) ВСІ РЕСПОНДЕНТИ</t>
  </si>
  <si>
    <t>Респонденти віком 40–59 років</t>
  </si>
  <si>
    <t>Респонденти віком 60 років і старше</t>
  </si>
  <si>
    <t>Чоловіки</t>
  </si>
  <si>
    <t>Середня оцінка всіма респондентами</t>
  </si>
  <si>
    <t>Жінки</t>
  </si>
  <si>
    <t>Середня оцінка респонентами віком 18-25 років</t>
  </si>
  <si>
    <t xml:space="preserve">Респонденти з середньою та неповною середньою освітою </t>
  </si>
  <si>
    <t>Середня оцінка респонентами віком 26–39 років</t>
  </si>
  <si>
    <t xml:space="preserve">Респонденти з вищою та неповною вищою освітою </t>
  </si>
  <si>
    <t>Середня оцінка респонентами віком 40–59 років</t>
  </si>
  <si>
    <t xml:space="preserve">Респонденти, які мають іншу освіту </t>
  </si>
  <si>
    <t>Середня оцінка респонентами віком 60 років і старше</t>
  </si>
  <si>
    <t>Місцеві респонденти</t>
  </si>
  <si>
    <t>Середня оцінка жінками</t>
  </si>
  <si>
    <t>Респонденти, що проживають у іншому населеному пункті</t>
  </si>
  <si>
    <t>Респонденти, які змушені економити на харчуванні</t>
  </si>
  <si>
    <t>Середня оцінка чоловіками</t>
  </si>
  <si>
    <t>Респонденти, яким 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</si>
  <si>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 xml:space="preserve">Середня оцінка респондентами з середньою та неповною середньою освітою </t>
  </si>
  <si>
    <t>Респонденти, яким 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</si>
  <si>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 xml:space="preserve">Середня оцінка респондентами з вищою та неповною вищою освітою </t>
  </si>
  <si>
    <t>Респонденти, яким вистачає на харчування, одяг, взуття, дорогі покупки. Для таких покупок як машина, квартира необхідно заощадити або позичити</t>
  </si>
  <si>
    <t xml:space="preserve">Середня оцінка респондентами, які мають іншу освіту </t>
  </si>
  <si>
    <t>Респонденти, які будь-які необхідні покупки можуть зробити в будь-який час</t>
  </si>
  <si>
    <t>Середня оцінка респондентами, які мають вищу юридичну освіту</t>
  </si>
  <si>
    <t>Респонденти, які не вказали матеріальне становище своєї родини</t>
  </si>
  <si>
    <t>Респонденти, які є учасниками судових проваджень і представляють особисто себе</t>
  </si>
  <si>
    <t>Середня оцінка респондентами, які не мають вищої юридичної освіти</t>
  </si>
  <si>
    <t>Респонденти, які є учасниками судових проваджень, але представляють іншу фізичну чи юридичну особу (є адвокатом, представником прокуратури, юрист-консультантом)</t>
  </si>
  <si>
    <t>Середня оцінка місцевими респондентами</t>
  </si>
  <si>
    <t>Респонденти, які не є учасниками судових проваджень</t>
  </si>
  <si>
    <t>Середня оцінка респондентами, що проживають у іншому населеному пункті</t>
  </si>
  <si>
    <t>Середня оцінка іншими респондентами</t>
  </si>
  <si>
    <t>Середня оцінка респондентами, які змушені економити на харчуванні</t>
  </si>
  <si>
    <t>Респонденти, що беруть участь у цивільних справах</t>
  </si>
  <si>
    <t>Середня оцінка респондентами, яким вистачає на харчування та необхідний одяг, взуття. Для таких покупок як гарний  костюм, мобільний телефон, пилосос необхідно заощадити або позичити</t>
  </si>
  <si>
    <t>Респонденти, що беруть участь у кримінальних справах</t>
  </si>
  <si>
    <t>Респонденти, що беруть участь у адміністративних справах</t>
  </si>
  <si>
    <t>Середня оцінка респондентами, яким 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t>
  </si>
  <si>
    <t>Респонденти, що беруть участь у господарських справах</t>
  </si>
  <si>
    <t>Середня оцінка респондентами, яким вистачає на харчування, одяг, взуття, дорогі покупки. Для таких покупок як машина, квартира необхідно заощадити або позичити</t>
  </si>
  <si>
    <t>Респонденти, що беруть участь у справах про адміністративні правопорушення</t>
  </si>
  <si>
    <t>Середня оцінка респондентами, які будь-які необхідні покупки можуть зробити в будь-який час</t>
  </si>
  <si>
    <t>Середня оцінка респондентами, які не вказали матеріальне становище своєї родини</t>
  </si>
  <si>
    <t>Середній інтегральний показник за вимірами якості</t>
  </si>
  <si>
    <t>Середня оцінка респондентами, які є учасниками судових проваджень і представляють особисто себе</t>
  </si>
  <si>
    <t>Доступність суду. Інтегральні показники за картками громадянського звітування</t>
  </si>
  <si>
    <t>Показник</t>
  </si>
  <si>
    <t>Одиниця виміру</t>
  </si>
  <si>
    <t>Значення</t>
  </si>
  <si>
    <t>Середня оцінка респондентами, які є учасниками судових проваджень, але представляють іншу фізичну чи юридичну особу (є адвокатом, представником прокуратури, юрист-консультантом)</t>
  </si>
  <si>
    <t>Чи легко Вам було знайти будівлю суду?</t>
  </si>
  <si>
    <t>Від 1 (цілком ні) до 5 (цілком так)</t>
  </si>
  <si>
    <t>Середня оцінка респондентами, які не є учасниками судових проваджень</t>
  </si>
  <si>
    <t>Чи зручно Вам діставатися до будівлі суду громадським транспортом? (Якщо Ви не користуєтеся громадським транспортом, пропустіть це запитання)</t>
  </si>
  <si>
    <t>Чи зручно паркувати автомобіль (достатньо паркувальних місць) біля будівлі суду? (Якщо Ви дісталися не на автомобілі – тобто громадським транспортом або пішки, пропустіть це питання)</t>
  </si>
  <si>
    <t>Чи зазнавали Ви певних перешкод у доступі до приміщень суду через обмеження охорони?</t>
  </si>
  <si>
    <t>Від 1 (цілком так) до 5 (цілком ні)</t>
  </si>
  <si>
    <t>Середня оцінка респондентами, що беруть участь у цивільних справах</t>
  </si>
  <si>
    <t>Як Ви вважаєте, чи люди з обмеженими можливостями можуть безперешкодно потрапити до приміщення суду і користуватися послугами суду?</t>
  </si>
  <si>
    <t>Середня оцінка респондентами, що беруть участь у кримінальних справах</t>
  </si>
  <si>
    <t>Якщо Вам доводилося телефонувати до суду, чи завжди вдавалось додзвонитися?</t>
  </si>
  <si>
    <t>Якщо Вам доводилося телефонувати до суду, чи завжди вдавалось отримати потрібну інформацію?</t>
  </si>
  <si>
    <t>Середня оцінка респондентами, що беруть участь у адміністративних справах</t>
  </si>
  <si>
    <t>Чи давав графік роботи канцелярії суду можливість вчасно та безперешкодно вирішувати Ваші справи у суді (подати позов, ознайомитися з матеріалами, отримати рішення, ухвалу, вирок та ін.)?*</t>
  </si>
  <si>
    <t>Середня оцінка респондентами, що беруть участь у господарських справах</t>
  </si>
  <si>
    <t xml:space="preserve">Чи могли б Ви собі дозволити витрати на послуги адвоката у разі необхідності?
</t>
  </si>
  <si>
    <t>Середня оцінка респондентами, що беруть участь у справах про адміністративні правопорушення</t>
  </si>
  <si>
    <t>ЗАГАЛЬНИЙ ІНДЕКС</t>
  </si>
  <si>
    <t>*У стандартному опитувальнику є одне питання, важливе для характеристики роботи суду, однак за змістом воно не може включатись до розрахунку інтегральної оцінки доступності. Це показник «зручність графіка роботи канцелярії суду», стор.55 посібника з СОРС</t>
  </si>
  <si>
    <t>Зручність та комфортність перебування в суді. Інтегральні показники за картками громадянського звітування</t>
  </si>
  <si>
    <t>– достатність зручних місць для очікування, оформлення документів, підготовки до засідання</t>
  </si>
  <si>
    <t>– вільний доступ до побутових приміщень (туалетів)</t>
  </si>
  <si>
    <t>– чистота та прибраність приміщень</t>
  </si>
  <si>
    <t>– достатність освітлення</t>
  </si>
  <si>
    <t>Повнота та ясність інформації. Інтегральні показники за картками громадянського звітування</t>
  </si>
  <si>
    <t>Чи зручно у суді розташовані інформаційні стенди (дошки об’яв)?</t>
  </si>
  <si>
    <t>Чи повною мірою задовольняє Вас наявна в суді інформація щодо:</t>
  </si>
  <si>
    <t>– розташування кабінетів, залів судових засідань, інших приміщень</t>
  </si>
  <si>
    <t>– правил допуску в суд та перебування в ньому</t>
  </si>
  <si>
    <t>– справ, що призначені до розгляду</t>
  </si>
  <si>
    <t>– зразків документів (заяв, клопотань тощо)</t>
  </si>
  <si>
    <t>– порядку сплати судових зборів та мита, реквізити та розміри платежів</t>
  </si>
  <si>
    <t>Чи користувалися Ви сторінкою суду в мережі інтернет?</t>
  </si>
  <si>
    <t>відсоток</t>
  </si>
  <si>
    <t>Чи знайшли Ви на сторінці суду потрібну для Вас інформацію?</t>
  </si>
  <si>
    <t>Сприйняття роботи працівників апарату суду. Інтегральні показники за картками громадянського звітування</t>
  </si>
  <si>
    <t>Чи старанно працювали працівники суду?</t>
  </si>
  <si>
    <t>Чи не припускалися працівники апарату суду помилок, які призводили б до перероблення документів та (або) порушення строків розгляду справ?</t>
  </si>
  <si>
    <t>Чи виявили працівники апарату суду при спілкуванні з Вами:</t>
  </si>
  <si>
    <t>– доброзичливість, повагу, бажання допомогти</t>
  </si>
  <si>
    <t>– однакове ставлення до всіх, незалежно від соціального статусу</t>
  </si>
  <si>
    <t>– професіоналізм, знання своєї справи</t>
  </si>
  <si>
    <t>Дотримання термінів судового розгляду. Інтегральні показники за картками громадянського звітування</t>
  </si>
  <si>
    <t>Чи вчасно (відповідно до графіка) розпочалося останнє засідання по Вашій справі?</t>
  </si>
  <si>
    <t>Чи було враховано Ваші побажання при призначенні дня та часу засідання?</t>
  </si>
  <si>
    <t>Чи вчасно Ви отримували повістки та повідомлення про розгляд справи?</t>
  </si>
  <si>
    <t>Чи вважаєте Ви обґрунтованими затримки/ перенесення слухань у розгляді Вашої справи?</t>
  </si>
  <si>
    <t>Сприйняття роботи судді. Інтегральні показники за картками громадянського звітування</t>
  </si>
  <si>
    <t>– неупередженість та незалежність (суддя не піддався зовнішньому тиску, якщо такий був)</t>
  </si>
  <si>
    <t>– коректність, доброзичливість, ввічливість</t>
  </si>
  <si>
    <t>– належна підготовка до справи та знання справи</t>
  </si>
  <si>
    <t>– надання можливостей сторонам обґрунтовувати свою позицію</t>
  </si>
  <si>
    <t>– дотримання процедури розгляду</t>
  </si>
  <si>
    <t>Судове рішення. Відносні, кількісні та інтегральні показники за картками громадянського звітування тих респондентів, чиї справи вже завершено.</t>
  </si>
  <si>
    <t>Кількість респондентів, чиї справи вже завершено</t>
  </si>
  <si>
    <t>число</t>
  </si>
  <si>
    <t>Рішення на користь респондента</t>
  </si>
  <si>
    <t>Отримання респондентами тексту рішення по
справі</t>
  </si>
  <si>
    <t>Вчасне отримання респондентами тексту рішення по
справі</t>
  </si>
  <si>
    <t>Легкість та доступність для розуміння мови
викладення рішення</t>
  </si>
  <si>
    <t>Сприйняття респондентами обґрунтованості
рішення (чи було рішення добре обґрунтоване?)</t>
  </si>
  <si>
    <t>Середня кількість судових засідань, що відбулися по справах тих респондентів, чиї справи вже завершено</t>
  </si>
  <si>
    <t>Число</t>
  </si>
  <si>
    <t>Середня кількість судових засідань, що не відбулися через неналежну організацію роботи
суду</t>
  </si>
  <si>
    <t>Середня кількість візитів до суду, що не були
пов’язані з судовими засіданнями</t>
  </si>
  <si>
    <t>Зміни, рекомендації та система «Електронний суд»</t>
  </si>
  <si>
    <t>На думку учасників судових проваджень, чи забезпечують наявні матеріально-технічні ресурси потреби працівників суду для ефективного виконання своїх обов’язків?</t>
  </si>
  <si>
    <t>Не відповіли на питання</t>
  </si>
  <si>
    <t>Якими є Ваші враження від візиту до суду сьогодні порівняно з Вашими очікуваннями?</t>
  </si>
  <si>
    <t>Кращі, ніж очікував (-ла)</t>
  </si>
  <si>
    <t>Гірші, ніж очікував (-ла)</t>
  </si>
  <si>
    <t>Відповідають очікуванням</t>
  </si>
  <si>
    <t>Якщо Ви були в цьому суді раніше (минулого року або ще раніше), то як, на Ваш погляд, змінилась якість роботи суду загалом?</t>
  </si>
  <si>
    <t>Покращилась значно</t>
  </si>
  <si>
    <t>Покращилась несуттєво</t>
  </si>
  <si>
    <t>Залишилась без змін</t>
  </si>
  <si>
    <t>Дещо погіршилася</t>
  </si>
  <si>
    <t>Значно погіршилася</t>
  </si>
  <si>
    <t>Важко сказати</t>
  </si>
  <si>
    <t>Чи відомо Вам, що в Україні в усіх судах в тестовому режимі починаючи з 1 січня 2019 р. працює система «Електронний суд» для подання до суду та отримання від суду документів в режимі онлайн?</t>
  </si>
  <si>
    <t xml:space="preserve">Чи користувалися Ви особисто системою «Електронний суд»? </t>
  </si>
  <si>
    <t xml:space="preserve">Якщо Ви користувалися системою «Електронний суд» , дайте оцінку роботі цієї системи. Використовуйте 5-бальну шкалу
(1 – дуже погано,  2 – незадовільно, 3 – задовільно, 4 – добре, 5 – відмінно, 9 – КН)
</t>
  </si>
  <si>
    <t>Блок 2. Основна частина – оцінювання роботи суду за вимірами якості</t>
  </si>
  <si>
    <t xml:space="preserve">Узагальнена інтегральна оцінка роботи суду </t>
  </si>
  <si>
    <t>Доступність суду</t>
  </si>
  <si>
    <t>9 - КН</t>
  </si>
  <si>
    <t>Якщо Вам доводилося телефонувати до суду, чи завжди вдавалось додзвонитися та чи завжди вдавалось отримати потрібну інформацію?</t>
  </si>
  <si>
    <t>Чи могли б Ви собі дозволити витрати на послуги адвоката у разі необхідності?
 Якщо респондент Вже користується послугами адвоката або є адвокатом сам (сама), або представляє інтереси держави, позначте відповідь «9» – «КН»!</t>
  </si>
  <si>
    <t>*У стандартному опитувальнику є одне питання, важливе для характеристики роботи суду,</t>
  </si>
  <si>
    <t>однак за змістом воно не може включатись до розрахунку інтегральної оцінки доступності.</t>
  </si>
  <si>
    <t>Це показник «зручність графіка роботи канцелярії суду», стор.55 посібника з СОРС</t>
  </si>
  <si>
    <t>Зручність та комфортність перебування у суді</t>
  </si>
  <si>
    <t>Повнота та ясність інформації</t>
  </si>
  <si>
    <t>так</t>
  </si>
  <si>
    <t>ні</t>
  </si>
  <si>
    <t>Сприйняття роботи працівників апарату суду</t>
  </si>
  <si>
    <t>Дотримання строків судового розгляду</t>
  </si>
  <si>
    <t>Сприйняття роботи судді</t>
  </si>
  <si>
    <t>Чи були, на Вашу думку, характерними для судді, що розглядав Вашу справу (одноособово чи як голова колегії суддів):</t>
  </si>
  <si>
    <t>Судове рішення (якщо розгляд справи завершено)</t>
  </si>
  <si>
    <t>Чи рішення по Вашій справі було на Вашу користь?</t>
  </si>
  <si>
    <t>Чи плануєте Ви оскаржувати рішення по Вашій справі?</t>
  </si>
  <si>
    <t>Чи отримали Ви повний текст рішення по Вашій справі?</t>
  </si>
  <si>
    <t>Чи вчасно Ви отримали повний текст рішення по Вашій справі?</t>
  </si>
  <si>
    <t>Чи було рішення викладено легкою, доступною для розуміння мовою?</t>
  </si>
  <si>
    <t>На Вашу думку, чи було рішення по Вашій справі добре обґрунтованим?</t>
  </si>
  <si>
    <t>В процесі, де Ви є чи були учасником (учасницею) проваджень вкажіть загальну кількість:</t>
  </si>
  <si>
    <t>– судових засідань, що відбулися по Вашій справі</t>
  </si>
  <si>
    <t>– судових засідань, що не відбулися через неналежну організацію роботи суду</t>
  </si>
  <si>
    <t>– візитів до суду, що не були пов'язані з участю в судових засіданнях</t>
  </si>
  <si>
    <t>Позначка часу</t>
  </si>
  <si>
    <t xml:space="preserve">1. Вік </t>
  </si>
  <si>
    <t>2. Стать</t>
  </si>
  <si>
    <t>3. Рівень освіти</t>
  </si>
  <si>
    <t>4. Наявність вищої юридичної освіти</t>
  </si>
  <si>
    <t>5. Де Ви проживаєте</t>
  </si>
  <si>
    <t>8. В якому з видів судового процесу в цьому суді  Ви берете участь</t>
  </si>
  <si>
    <t>12. Оцініть, будь ласка, за 5-бальною шкалою якість роботи цього суду (1 – дуже погано, 5 – відмінно, 9 – КН)</t>
  </si>
  <si>
    <t xml:space="preserve">13. Який ступінь Вашої обізнаності з роботою судів та суддів у цілому </t>
  </si>
  <si>
    <t>14. В Україні існує можливість альтернативного (позасудового) вирішення спорів, наприклад, шляхом застосування медіації. Наскільки Ви вважаєте себе обізнаним(-ою) щодо альтернативного вирішення спорів?</t>
  </si>
  <si>
    <t>Доступність суду [Чи легко Вам було знайти будівлю суду?]</t>
  </si>
  <si>
    <t>Доступність суду [Чи зручно Вам діставатися до будівлі суду громадським транспортом?]</t>
  </si>
  <si>
    <t>Доступність суду [Чи зручно паркувати автомобіль (достатньо паркувальних місць) біля будівлі суду?]</t>
  </si>
  <si>
    <t>Доступність суду [Чи зазнавали Ви певних перешкод у доступі до приміщень суду через обмеження охорони?]</t>
  </si>
  <si>
    <t>Доступність суду [Як Ви вважаєте, чи люди з обмеженими можливостями можуть безперешкодно потрапити до приміщення суду і користуватися послугами суду?]</t>
  </si>
  <si>
    <t>Доступність суду [Якщо Вам доводилося телефонувати до суду, чи завжди вдавалось додзвонитися?]</t>
  </si>
  <si>
    <t>Доступність суду [Якщо Вам доводилося телефонувати до суду, чи завжди вдавалось отримати потрібну інформацію?]</t>
  </si>
  <si>
    <t>Доступність суду [Чи давав графік роботи канцелярії суду можливість вчасно та безперешкодно вирішувати Ваші справи у суді (подати позов, ознайомитися з матеріалами, отримати рішення, ухвалу, вирок та ін.)?]</t>
  </si>
  <si>
    <t>Доступність суду [Чи могли б Ви собі дозволити витрати на послуги адвоката у разі необхідності?]</t>
  </si>
  <si>
    <t>Зручність та комфортність перебування у суді [–	достатність зручних місць для очікування, оформлення документів, підготовки до засідання]</t>
  </si>
  <si>
    <t>Зручність та комфортність перебування у суді [–	вільний доступ до побутових приміщень (туалетів)]</t>
  </si>
  <si>
    <t>Зручність та комфортність перебування у суді [–	чистота та прибраність приміщень]</t>
  </si>
  <si>
    <t>Зручність та комфортність перебування у суді [–	достатність освітлення]</t>
  </si>
  <si>
    <t>Повнота та ясність інформації [Чи зручно у суді розташовані інформаційні стенди (дошки об’яв)?]</t>
  </si>
  <si>
    <t>Повнота та ясність інформації [–	розташування кабінетів, залів судових засідань, інших приміщень]</t>
  </si>
  <si>
    <t>Повнота та ясність інформації [–	правил допуску в суд та перебування в ньому]</t>
  </si>
  <si>
    <t>Повнота та ясність інформації [–	справ, що призначені до розгляду]</t>
  </si>
  <si>
    <t>Повнота та ясність інформації [–	зразків документів (заяв, клопотань тощо)]</t>
  </si>
  <si>
    <t>Повнота та ясність інформації [–	порядку сплати судових зборів та мита, реквізити та розміри платежів]</t>
  </si>
  <si>
    <t>Повнота та ясність інформації [Чи користувалися Ви сторінкою суду в мережі інтернет?]</t>
  </si>
  <si>
    <t>Повнота та ясність інформації [Чи знайшли Ви на сторінці суду потрібну для Вас інформацію?]</t>
  </si>
  <si>
    <t>Сприйняття роботи працівників апарату суду [Чи старанно працювали працівники суду?]</t>
  </si>
  <si>
    <t>Сприйняття роботи працівників апарату суду [Чи не припускалися працівники апарату суду помилок, які призводили б до перероблення документів та (або) порушення строків розгляду справ?]</t>
  </si>
  <si>
    <t>Сприйняття роботи працівників апарату суду [–	доброзичливість, повагу, бажання допомогти]</t>
  </si>
  <si>
    <t>Сприйняття роботи працівників апарату суду [–	однакове ставлення до всіх, незалежно від соціального статусу]</t>
  </si>
  <si>
    <t>Сприйняття роботи працівників апарату суду [–	професіоналізм, знання своєї справи]</t>
  </si>
  <si>
    <t>Дотримання строків судового розгляду [Чи вчасно (відповідно до графіка) розпочалося останнє засідання по Вашій справі?]</t>
  </si>
  <si>
    <t>Дотримання строків судового розгляду [Чи було враховано Ваші побажання при призначенні дня та часу засідання?]</t>
  </si>
  <si>
    <t>Дотримання строків судового розгляду [Чи вчасно Ви отримували повістки та повідомлення про розгляд справи?]</t>
  </si>
  <si>
    <t>Дотримання строків судового розгляду [Чи вважаєте Ви обґрунтованими затримки/ перенесення слухань у розгляді Вашої справи?]</t>
  </si>
  <si>
    <t>Сприйняття роботи судді [–	неупередженість та незалежність (суддя не піддався зовнішньому тиску, якщо такий був)]</t>
  </si>
  <si>
    <t>Сприйняття роботи судді [–	коректність, доброзичливість, ввічливість]</t>
  </si>
  <si>
    <t>Сприйняття роботи судді [–	належна підготовка до справи та знання справи]</t>
  </si>
  <si>
    <t>Сприйняття роботи судді [–	надання можливостей сторонам обґрунтовувати свою позицію]</t>
  </si>
  <si>
    <t>Сприйняття роботи судді [–	дотримання процедури розгляду]</t>
  </si>
  <si>
    <t>Судове рішення (якщо розгляд справи завершено) [Чи рішення по Вашій справі було на Вашу користь?]</t>
  </si>
  <si>
    <t>Судове рішення (якщо розгляд справи завершено) [Чи плануєте Ви оскаржувати рішення по Вашій справі?]</t>
  </si>
  <si>
    <t>Судове рішення (якщо розгляд справи завершено) [Чи отримали Ви повний текст рішення по Вашій справі?]</t>
  </si>
  <si>
    <t>Судове рішення (якщо розгляд справи завершено) [Чи вчасно Ви отримали повний текст рішення по Вашій справі?]</t>
  </si>
  <si>
    <t>Судове рішення (якщо розгляд справи завершено) [Чи було рішення викладено легкою, доступною для розуміння мовою?]</t>
  </si>
  <si>
    <t>Судове рішення (якщо розгляд справи завершено) [На Вашу думку, чи було рішення по Вашій справі добре обґрунтованим?]</t>
  </si>
  <si>
    <t>В процесі, де Ви є чи були учасником (учасницею) проваджень вкажіть загальну кількість судових засідань, що відбулися по Вашій справі</t>
  </si>
  <si>
    <t>В процесі, де Ви є чи були учасником (учасницею) проваджень вкажіть загальну кількість судових засідань, що не відбулися через неналежну організацію роботи суду</t>
  </si>
  <si>
    <t>В процесі, де Ви є чи були учасником (учасницею) проваджень вкажіть загальну кількість візитів до суду, що не були пов'язані з участю в судових засіданнях</t>
  </si>
  <si>
    <t xml:space="preserve">59. Які конкретні зміни, на Ваш погляд, необхідні для покращення роботи цього суду </t>
  </si>
  <si>
    <t>60. Як Ви вважаєте, чи наявні матеріально-технічні ресурси забезпечують потреби працівників суду для ефективного виконання своїх обов’язків? [1- Так, 2 - Ні, 9 - КН]</t>
  </si>
  <si>
    <t>61. Якими є Ваші враження від візиту до суду сьогодні порівняно з Вашими очікуваннями?</t>
  </si>
  <si>
    <t>62. Якщо Ви були в цьому суді раніше (минулого року або ще раніше), то як, на Ваш погляд, змінилась якість роботи суду загалом?</t>
  </si>
  <si>
    <t>63.Чи відомо Вам, що в Україні в усіх судах в тестовому режимі починаючи з 1 січня 2019 р. працює система «Електронний суд» для подання до суду та отримання від суду документів в режимі онлайн?</t>
  </si>
  <si>
    <t xml:space="preserve">64.Чи користувалися Ви особисто системою «Електронний суд»? </t>
  </si>
  <si>
    <t>65. Якщо Ви користувалися системою «Електронний суд» , дайте оцінку роботі цієї системи. [1 – дуже погано,  2 – незадовільно, 3 – задовільно, 4 – добре, 5 – відмінно, 9 – КН]</t>
  </si>
  <si>
    <t>Якщо не заперечуєте, поясніть свою оцінку системи «Електронний суд»</t>
  </si>
  <si>
    <t>26–39 років</t>
  </si>
  <si>
    <t>КН</t>
  </si>
  <si>
    <t>40–59 років</t>
  </si>
  <si>
    <t>Розгляд справи не завершено</t>
  </si>
  <si>
    <t>Доступний Wi-Fi, ремонт вхідних сходів.</t>
  </si>
  <si>
    <t>Не був ніколи учасником процесу в цьому суді</t>
  </si>
  <si>
    <t>Це мій перший судовий процес</t>
  </si>
  <si>
    <t>КН (код невідповіді)</t>
  </si>
  <si>
    <t>Цілком влаштовує.</t>
  </si>
  <si>
    <t>Інше (вкажіть)</t>
  </si>
  <si>
    <t>18–25 років</t>
  </si>
  <si>
    <t>Справа про адміністративні  правопорушення</t>
  </si>
  <si>
    <t>В цілому робота суду знаходиться на високому рівні.</t>
  </si>
  <si>
    <t>Немає.</t>
  </si>
  <si>
    <t>6-7</t>
  </si>
  <si>
    <t>Доступ до Wi-Fi/</t>
  </si>
  <si>
    <t>Блок 3. Зміни, рекомендації та система «Електронний суд»</t>
  </si>
  <si>
    <t>Як Ви вважаєте, чи наявні матеріально-технічні ресурси забезпечують потреби працівників суду для ефективного виконання своїх обов’язків?</t>
  </si>
  <si>
    <t xml:space="preserve">Якщо Ви користувалися системою «Електронний суд» , дайте оцінку роботі цієї системи. Використовуйте 5-бальну шкалу
(1 – дуже погано,  2 – незадовільно, 3 – задовільно, 4 – добре, 5 – відмінно, 9 – КН)
</t>
  </si>
  <si>
    <t>Респонденти, що вважають себе незаможними</t>
  </si>
  <si>
    <t>Респонденти, що вважають своє матеріальне становище нижчим середнього</t>
  </si>
  <si>
    <t>Респонденти, що вважають своє матеріальне становище середнім</t>
  </si>
  <si>
    <t>Респонденти, що вважають своє матеріальне становище вищим середнього</t>
  </si>
  <si>
    <t>Респонденти, що вважають себе заможними</t>
  </si>
  <si>
    <t>Респонденти, які представляють особисто себе</t>
  </si>
  <si>
    <t>Респонденти, які представляють іншу особу</t>
  </si>
  <si>
    <t>Інші респонденти</t>
  </si>
  <si>
    <t>Чи зручно Вам діставатися до будівлі суду громадським транспортом?</t>
  </si>
  <si>
    <t>Чи зручно паркувати автомобіль (достатньо паркувальних місць) біля будівлі суду?</t>
  </si>
  <si>
    <t>Чи зазнавали Ви перешкод у доступі до приміщень суду через охорону?</t>
  </si>
  <si>
    <t>Чи можуть люди з обмеженими можливостями безперешкодно потрапити до приміщення суду і користуватися послугами суду?</t>
  </si>
  <si>
    <t>Чи давав графік роботи канцелярії суду можливість вчасно та безперешкодно вирішувати Ваші справи у суді</t>
  </si>
  <si>
    <t>Чи могли б Ви собі дозволити витрати на послуги адвоката у разі необхідності?</t>
  </si>
  <si>
    <t>достатність місць для очікування, оформлення документів, підготовки до засідання</t>
  </si>
  <si>
    <t>вільний доступ до побутових приміщень (туалетів)</t>
  </si>
  <si>
    <t>чистота та прибраність приміщень</t>
  </si>
  <si>
    <t>достатність освітлення</t>
  </si>
  <si>
    <t>Чи задовольняє Вас інформація щодо розташування кабінетів, залів судових засідань, інших приміщень</t>
  </si>
  <si>
    <t>Чи задовольняє Вас інформація щодо правил допуску в суд та перебування в ньому</t>
  </si>
  <si>
    <t>Чи задовольняє Вас інформація щодо справ, що призначені до розгляду</t>
  </si>
  <si>
    <t>Чи задовольняє Вас інформація щодо зразків документів (заяв, клопотань тощо)</t>
  </si>
  <si>
    <t>Чи задовольняє Вас інформація щодо порядку сплати судових зборів та мита, реквізити та розміри платежів</t>
  </si>
  <si>
    <t>Чи виявили працівники апарату суду при спілкуванні з Вами доброзичливість, повагу, бажання допомогти</t>
  </si>
  <si>
    <t>Чи виявили працівники апарату суду при спілкуванні з Вами однакове ставлення до всіх, незалежно від соціального статусу</t>
  </si>
  <si>
    <t>Чи виявили працівники апарату суду при спілкуванні з Вами професіоналізм, знання своєї справи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</si>
</sst>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30" x14ac:knownFonts="1">
    <font>
      <sz val="10"/>
      <color rgb="FF000000"/>
      <name val="Arial"/>
    </font>
    <font>
      <sz val="10"/>
      <name val="Arial"/>
    </font>
    <font>
      <sz val="11"/>
      <color rgb="FF000000"/>
      <name val="Times New Roman"/>
    </font>
    <font>
      <sz val="10"/>
      <name val="Times New Roman"/>
    </font>
    <font>
      <b/>
      <u/>
      <sz val="14"/>
      <color rgb="FF000000"/>
      <name val="Times New Roman"/>
    </font>
    <font>
      <b/>
      <sz val="10"/>
      <name val="Arial"/>
    </font>
    <font>
      <b/>
      <sz val="14"/>
      <color rgb="FF000000"/>
      <name val="Times New Roman"/>
    </font>
    <font>
      <b/>
      <u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name val="Arial"/>
    </font>
    <font>
      <sz val="10"/>
      <name val="Arial"/>
    </font>
    <font>
      <sz val="11"/>
      <name val="Arial"/>
    </font>
    <font>
      <sz val="12"/>
      <name val="Arial"/>
    </font>
    <font>
      <b/>
      <sz val="14"/>
      <name val="Arial"/>
    </font>
    <font>
      <b/>
      <sz val="14"/>
      <name val="Times New Roman"/>
    </font>
    <font>
      <b/>
      <sz val="12"/>
      <name val="Times New Roman"/>
    </font>
    <font>
      <b/>
      <sz val="11"/>
      <name val="Arial"/>
    </font>
    <font>
      <sz val="12"/>
      <name val="Times New Roman"/>
    </font>
    <font>
      <sz val="11"/>
      <name val="Times New Roman"/>
    </font>
    <font>
      <b/>
      <sz val="11"/>
      <name val="Times New Roman"/>
    </font>
    <font>
      <b/>
      <u/>
      <sz val="14"/>
      <color rgb="FF000000"/>
      <name val="Times New Roman"/>
    </font>
    <font>
      <b/>
      <u/>
      <sz val="14"/>
      <name val="Arial"/>
    </font>
    <font>
      <b/>
      <sz val="18"/>
      <name val="Arial"/>
    </font>
    <font>
      <b/>
      <sz val="18"/>
      <name val="Times New Roman"/>
    </font>
    <font>
      <b/>
      <u/>
      <sz val="12"/>
      <name val="Arial"/>
    </font>
    <font>
      <i/>
      <sz val="11"/>
      <name val="Arial"/>
    </font>
    <font>
      <i/>
      <sz val="12"/>
      <name val="Arial"/>
    </font>
  </fonts>
  <fills count="11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E6B8AF"/>
        <bgColor rgb="FFE6B8AF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78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>
      <alignment wrapText="1"/>
    </xf>
    <xf numFmtId="0" fontId="5" fillId="0" borderId="0" xfId="0" applyFont="1" applyAlignment="1"/>
    <xf numFmtId="0" fontId="6" fillId="2" borderId="0" xfId="0" applyFont="1" applyFill="1" applyAlignment="1"/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 applyAlignment="1"/>
    <xf numFmtId="0" fontId="6" fillId="2" borderId="1" xfId="0" applyFont="1" applyFill="1" applyBorder="1" applyAlignment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2" borderId="1" xfId="0" applyFont="1" applyFill="1" applyBorder="1" applyAlignment="1"/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vertical="top"/>
    </xf>
    <xf numFmtId="0" fontId="9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/>
    <xf numFmtId="10" fontId="2" fillId="0" borderId="6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horizontal="center"/>
    </xf>
    <xf numFmtId="10" fontId="11" fillId="0" borderId="1" xfId="0" applyNumberFormat="1" applyFont="1" applyBorder="1" applyAlignment="1">
      <alignment horizontal="center"/>
    </xf>
    <xf numFmtId="10" fontId="1" fillId="0" borderId="0" xfId="0" applyNumberFormat="1" applyFont="1"/>
    <xf numFmtId="0" fontId="8" fillId="0" borderId="1" xfId="0" applyFont="1" applyBorder="1" applyAlignment="1">
      <alignment horizontal="left"/>
    </xf>
    <xf numFmtId="0" fontId="2" fillId="0" borderId="3" xfId="0" applyFont="1" applyBorder="1" applyAlignment="1">
      <alignment vertical="top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11" fillId="0" borderId="1" xfId="0" applyFont="1" applyBorder="1" applyAlignment="1">
      <alignment vertical="top"/>
    </xf>
    <xf numFmtId="0" fontId="12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/>
    </xf>
    <xf numFmtId="0" fontId="2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4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2" fillId="0" borderId="4" xfId="0" applyFont="1" applyBorder="1" applyAlignment="1">
      <alignment vertical="top" wrapText="1"/>
    </xf>
    <xf numFmtId="0" fontId="6" fillId="0" borderId="0" xfId="0" applyFont="1" applyAlignment="1"/>
    <xf numFmtId="0" fontId="2" fillId="0" borderId="5" xfId="0" applyFont="1" applyBorder="1" applyAlignment="1">
      <alignment vertical="top" wrapText="1"/>
    </xf>
    <xf numFmtId="0" fontId="1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2" fillId="0" borderId="1" xfId="0" applyFont="1" applyBorder="1" applyAlignment="1"/>
    <xf numFmtId="2" fontId="10" fillId="0" borderId="1" xfId="0" applyNumberFormat="1" applyFont="1" applyBorder="1" applyAlignment="1">
      <alignment horizontal="center"/>
    </xf>
    <xf numFmtId="2" fontId="1" fillId="0" borderId="0" xfId="0" applyNumberFormat="1" applyFont="1"/>
    <xf numFmtId="2" fontId="6" fillId="0" borderId="1" xfId="0" applyNumberFormat="1" applyFont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2" fontId="8" fillId="6" borderId="1" xfId="0" applyNumberFormat="1" applyFont="1" applyFill="1" applyBorder="1" applyAlignment="1">
      <alignment horizontal="center"/>
    </xf>
    <xf numFmtId="2" fontId="8" fillId="7" borderId="1" xfId="0" applyNumberFormat="1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7" fillId="4" borderId="4" xfId="0" applyFont="1" applyFill="1" applyBorder="1" applyAlignment="1"/>
    <xf numFmtId="0" fontId="17" fillId="4" borderId="5" xfId="0" applyFont="1" applyFill="1" applyBorder="1" applyAlignment="1">
      <alignment wrapText="1"/>
    </xf>
    <xf numFmtId="0" fontId="17" fillId="4" borderId="5" xfId="0" applyFont="1" applyFill="1" applyBorder="1"/>
    <xf numFmtId="2" fontId="17" fillId="4" borderId="2" xfId="0" applyNumberFormat="1" applyFont="1" applyFill="1" applyBorder="1" applyAlignment="1">
      <alignment horizontal="center"/>
    </xf>
    <xf numFmtId="0" fontId="16" fillId="0" borderId="0" xfId="0" applyFont="1" applyAlignment="1"/>
    <xf numFmtId="0" fontId="18" fillId="0" borderId="1" xfId="0" applyFont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0" fontId="20" fillId="0" borderId="4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/>
    <xf numFmtId="2" fontId="20" fillId="6" borderId="1" xfId="0" applyNumberFormat="1" applyFont="1" applyFill="1" applyBorder="1" applyAlignment="1">
      <alignment horizontal="center"/>
    </xf>
    <xf numFmtId="0" fontId="20" fillId="0" borderId="1" xfId="0" applyFont="1" applyBorder="1"/>
    <xf numFmtId="2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0" fontId="21" fillId="0" borderId="1" xfId="0" applyFont="1" applyBorder="1" applyAlignment="1"/>
    <xf numFmtId="0" fontId="3" fillId="0" borderId="1" xfId="0" applyFont="1" applyBorder="1"/>
    <xf numFmtId="2" fontId="22" fillId="0" borderId="1" xfId="0" applyNumberFormat="1" applyFont="1" applyBorder="1" applyAlignment="1">
      <alignment horizontal="center"/>
    </xf>
    <xf numFmtId="10" fontId="20" fillId="0" borderId="1" xfId="0" applyNumberFormat="1" applyFont="1" applyBorder="1" applyAlignment="1">
      <alignment horizontal="center"/>
    </xf>
    <xf numFmtId="0" fontId="20" fillId="0" borderId="0" xfId="0" applyFont="1"/>
    <xf numFmtId="0" fontId="18" fillId="0" borderId="1" xfId="0" applyFont="1" applyBorder="1" applyAlignment="1">
      <alignment horizontal="center" wrapText="1"/>
    </xf>
    <xf numFmtId="10" fontId="20" fillId="0" borderId="1" xfId="0" applyNumberFormat="1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10" fontId="20" fillId="0" borderId="3" xfId="0" applyNumberFormat="1" applyFont="1" applyBorder="1" applyAlignment="1">
      <alignment horizontal="center" wrapText="1"/>
    </xf>
    <xf numFmtId="2" fontId="20" fillId="0" borderId="3" xfId="0" applyNumberFormat="1" applyFont="1" applyBorder="1" applyAlignment="1">
      <alignment horizontal="center"/>
    </xf>
    <xf numFmtId="2" fontId="20" fillId="0" borderId="3" xfId="0" applyNumberFormat="1" applyFont="1" applyBorder="1" applyAlignment="1">
      <alignment horizontal="center" wrapText="1"/>
    </xf>
    <xf numFmtId="0" fontId="23" fillId="0" borderId="0" xfId="0" applyFont="1" applyAlignment="1"/>
    <xf numFmtId="0" fontId="15" fillId="0" borderId="1" xfId="0" applyFont="1" applyBorder="1" applyAlignment="1"/>
    <xf numFmtId="10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5" fillId="0" borderId="0" xfId="0" applyFont="1"/>
    <xf numFmtId="0" fontId="24" fillId="0" borderId="0" xfId="0" applyFont="1" applyAlignment="1"/>
    <xf numFmtId="0" fontId="19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2" fontId="26" fillId="10" borderId="0" xfId="0" applyNumberFormat="1" applyFont="1" applyFill="1" applyAlignment="1">
      <alignment horizontal="center" wrapText="1"/>
    </xf>
    <xf numFmtId="0" fontId="19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0" fontId="14" fillId="6" borderId="1" xfId="0" applyFont="1" applyFill="1" applyBorder="1" applyAlignment="1">
      <alignment vertical="top" wrapText="1"/>
    </xf>
    <xf numFmtId="0" fontId="21" fillId="6" borderId="1" xfId="0" applyFont="1" applyFill="1" applyBorder="1" applyAlignment="1">
      <alignment horizontal="center" wrapText="1"/>
    </xf>
    <xf numFmtId="2" fontId="21" fillId="6" borderId="1" xfId="0" applyNumberFormat="1" applyFont="1" applyFill="1" applyBorder="1" applyAlignment="1">
      <alignment horizontal="center" wrapText="1"/>
    </xf>
    <xf numFmtId="2" fontId="18" fillId="0" borderId="1" xfId="0" applyNumberFormat="1" applyFont="1" applyBorder="1" applyAlignment="1">
      <alignment horizontal="center"/>
    </xf>
    <xf numFmtId="0" fontId="1" fillId="0" borderId="0" xfId="0" applyFont="1" applyAlignment="1"/>
    <xf numFmtId="0" fontId="1" fillId="6" borderId="0" xfId="0" applyFont="1" applyFill="1" applyAlignment="1"/>
    <xf numFmtId="0" fontId="1" fillId="6" borderId="0" xfId="0" applyFont="1" applyFill="1"/>
    <xf numFmtId="0" fontId="27" fillId="0" borderId="0" xfId="0" applyFont="1" applyAlignment="1"/>
    <xf numFmtId="0" fontId="15" fillId="0" borderId="0" xfId="0" applyFont="1" applyAlignment="1"/>
    <xf numFmtId="0" fontId="28" fillId="0" borderId="1" xfId="0" applyFont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19" fillId="0" borderId="1" xfId="0" applyFont="1" applyBorder="1" applyAlignment="1">
      <alignment horizontal="left" vertical="top" wrapText="1"/>
    </xf>
    <xf numFmtId="164" fontId="13" fillId="0" borderId="0" xfId="0" applyNumberFormat="1" applyFont="1" applyAlignment="1"/>
    <xf numFmtId="0" fontId="13" fillId="0" borderId="0" xfId="0" applyFont="1" applyAlignment="1"/>
    <xf numFmtId="0" fontId="13" fillId="0" borderId="9" xfId="0" applyFont="1" applyBorder="1" applyAlignment="1"/>
    <xf numFmtId="0" fontId="13" fillId="0" borderId="9" xfId="0" applyFont="1" applyBorder="1" applyAlignment="1"/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quotePrefix="1" applyFont="1" applyAlignment="1"/>
    <xf numFmtId="0" fontId="20" fillId="0" borderId="4" xfId="0" applyFont="1" applyBorder="1" applyAlignment="1"/>
    <xf numFmtId="0" fontId="1" fillId="0" borderId="5" xfId="0" applyFont="1" applyBorder="1"/>
    <xf numFmtId="0" fontId="1" fillId="0" borderId="2" xfId="0" applyFont="1" applyBorder="1"/>
    <xf numFmtId="0" fontId="18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0" fillId="0" borderId="0" xfId="0" applyFont="1" applyAlignment="1"/>
    <xf numFmtId="0" fontId="12" fillId="0" borderId="4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20" fillId="0" borderId="4" xfId="0" applyFont="1" applyBorder="1" applyAlignment="1">
      <alignment vertical="top" wrapText="1"/>
    </xf>
    <xf numFmtId="0" fontId="20" fillId="6" borderId="4" xfId="0" applyFont="1" applyFill="1" applyBorder="1" applyAlignment="1">
      <alignment horizontal="center" wrapText="1"/>
    </xf>
    <xf numFmtId="0" fontId="20" fillId="6" borderId="4" xfId="0" applyFont="1" applyFill="1" applyBorder="1" applyAlignment="1">
      <alignment vertical="top" wrapText="1"/>
    </xf>
    <xf numFmtId="0" fontId="1" fillId="6" borderId="0" xfId="0" applyFont="1" applyFill="1" applyAlignment="1">
      <alignment wrapText="1"/>
    </xf>
    <xf numFmtId="0" fontId="19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8" fillId="0" borderId="4" xfId="0" applyFont="1" applyBorder="1"/>
    <xf numFmtId="0" fontId="21" fillId="0" borderId="4" xfId="0" applyFont="1" applyBorder="1" applyAlignment="1">
      <alignment horizontal="center" wrapText="1"/>
    </xf>
    <xf numFmtId="0" fontId="22" fillId="0" borderId="4" xfId="0" applyFont="1" applyBorder="1"/>
    <xf numFmtId="0" fontId="19" fillId="0" borderId="4" xfId="0" applyFont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8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2" fillId="4" borderId="4" xfId="0" applyFont="1" applyFill="1" applyBorder="1" applyAlignment="1">
      <alignment wrapText="1"/>
    </xf>
    <xf numFmtId="0" fontId="16" fillId="0" borderId="4" xfId="0" applyFont="1" applyBorder="1" applyAlignment="1">
      <alignment wrapText="1"/>
    </xf>
    <xf numFmtId="0" fontId="12" fillId="3" borderId="4" xfId="0" applyFont="1" applyFill="1" applyBorder="1" applyAlignment="1">
      <alignment wrapText="1"/>
    </xf>
    <xf numFmtId="0" fontId="12" fillId="9" borderId="4" xfId="0" applyFont="1" applyFill="1" applyBorder="1" applyAlignment="1">
      <alignment wrapText="1"/>
    </xf>
    <xf numFmtId="0" fontId="12" fillId="7" borderId="4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6" borderId="4" xfId="0" applyFont="1" applyFill="1" applyBorder="1" applyAlignment="1">
      <alignment wrapText="1"/>
    </xf>
    <xf numFmtId="0" fontId="2" fillId="0" borderId="7" xfId="0" applyFont="1" applyBorder="1" applyAlignment="1">
      <alignment vertical="top" wrapText="1"/>
    </xf>
    <xf numFmtId="0" fontId="1" fillId="0" borderId="8" xfId="0" applyFont="1" applyBorder="1"/>
    <xf numFmtId="0" fontId="1" fillId="0" borderId="6" xfId="0" applyFont="1" applyBorder="1"/>
    <xf numFmtId="0" fontId="4" fillId="0" borderId="0" xfId="0" applyFont="1" applyAlignment="1">
      <alignment wrapText="1"/>
    </xf>
    <xf numFmtId="0" fontId="8" fillId="0" borderId="4" xfId="0" applyFont="1" applyBorder="1" applyAlignment="1">
      <alignment horizontal="left"/>
    </xf>
    <xf numFmtId="0" fontId="25" fillId="1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віком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5098-4A43-86CD-139D95271C95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5098-4A43-86CD-139D95271C9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5098-4A43-86CD-139D95271C95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5098-4A43-86CD-139D95271C95}"/>
              </c:ext>
            </c:extLst>
          </c:dPt>
          <c:cat>
            <c:strRef>
              <c:f>Block1!$A$6:$A$9</c:f>
              <c:strCache>
                <c:ptCount val="4"/>
                <c:pt idx="0">
                  <c:v>18-25 років</c:v>
                </c:pt>
                <c:pt idx="1">
                  <c:v>26-39 років</c:v>
                </c:pt>
                <c:pt idx="2">
                  <c:v>40-59 років</c:v>
                </c:pt>
                <c:pt idx="3">
                  <c:v>60 років і старше</c:v>
                </c:pt>
              </c:strCache>
            </c:strRef>
          </c:cat>
          <c:val>
            <c:numRef>
              <c:f>Block1!$B$6:$B$9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14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98-4A43-86CD-139D95271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місця проживання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Block1!$A$72:$A$73</c:f>
              <c:strCache>
                <c:ptCount val="2"/>
                <c:pt idx="0">
                  <c:v>Середня оцінка місцевими респондентами</c:v>
                </c:pt>
                <c:pt idx="1">
                  <c:v>Середня оцінка респондентами, що проживають у іншому населеному пункті</c:v>
                </c:pt>
              </c:strCache>
            </c:strRef>
          </c:cat>
          <c:val>
            <c:numRef>
              <c:f>Block1!$F$72:$F$73</c:f>
              <c:numCache>
                <c:formatCode>0.00</c:formatCode>
                <c:ptCount val="2"/>
                <c:pt idx="0">
                  <c:v>4.666666666666667</c:v>
                </c:pt>
                <c:pt idx="1">
                  <c:v>4.7058823529411766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5B66-472E-8EA5-5F2EA12C1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1723121"/>
        <c:axId val="685254231"/>
      </c:barChart>
      <c:catAx>
        <c:axId val="181172312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685254231"/>
        <c:crosses val="autoZero"/>
        <c:auto val="1"/>
        <c:lblAlgn val="ctr"/>
        <c:lblOffset val="100"/>
        <c:noMultiLvlLbl val="1"/>
      </c:catAx>
      <c:valAx>
        <c:axId val="68525423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81172312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рівня доходів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srv!$B$1:$B$6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7B3-45F8-BD65-D62CF8957607}"/>
            </c:ext>
          </c:extLst>
        </c:ser>
        <c:ser>
          <c:idx val="1"/>
          <c:order val="1"/>
          <c:spPr>
            <a:solidFill>
              <a:srgbClr val="DC3912"/>
            </a:solidFill>
          </c:spPr>
          <c:invertIfNegative val="1"/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srv!$C$1:$C$6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7B3-45F8-BD65-D62CF8957607}"/>
            </c:ext>
          </c:extLst>
        </c:ser>
        <c:ser>
          <c:idx val="2"/>
          <c:order val="2"/>
          <c:spPr>
            <a:solidFill>
              <a:srgbClr val="FF9900"/>
            </a:solidFill>
          </c:spPr>
          <c:invertIfNegative val="1"/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srv!$D$1:$D$6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D7B3-45F8-BD65-D62CF8957607}"/>
            </c:ext>
          </c:extLst>
        </c:ser>
        <c:ser>
          <c:idx val="3"/>
          <c:order val="3"/>
          <c:spPr>
            <a:solidFill>
              <a:srgbClr val="109618"/>
            </a:solidFill>
          </c:spPr>
          <c:invertIfNegative val="1"/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srv!$E$1:$E$6</c:f>
              <c:numCache>
                <c:formatCode>General</c:formatCode>
                <c:ptCount val="6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D7B3-45F8-BD65-D62CF8957607}"/>
            </c:ext>
          </c:extLst>
        </c:ser>
        <c:ser>
          <c:idx val="4"/>
          <c:order val="4"/>
          <c:spPr>
            <a:solidFill>
              <a:srgbClr val="990099"/>
            </a:solidFill>
          </c:spPr>
          <c:invertIfNegative val="1"/>
          <c:cat>
            <c:strRef>
              <c:f>srv!$A$1:$A$6</c:f>
              <c:strCache>
                <c:ptCount val="6"/>
                <c:pt idx="0">
                  <c:v>Респонденти, що вважають себе незаможними</c:v>
                </c:pt>
                <c:pt idx="1">
                  <c:v>Респонденти, що вважають своє матеріальне становище нижчим середнього</c:v>
                </c:pt>
                <c:pt idx="2">
                  <c:v>Респонденти, що вважають своє матеріальне становище середнім</c:v>
                </c:pt>
                <c:pt idx="3">
                  <c:v>Респонденти, що вважають своє матеріальне становище вищим середнього</c:v>
                </c:pt>
                <c:pt idx="4">
                  <c:v>Респонденти, що вважають себе заможними</c:v>
                </c:pt>
                <c:pt idx="5">
                  <c:v>Респонденти, які не вказали матеріальне становище своєї родини</c:v>
                </c:pt>
              </c:strCache>
            </c:strRef>
          </c:cat>
          <c:val>
            <c:numRef>
              <c:f>srv!$F$1:$F$6</c:f>
              <c:numCache>
                <c:formatCode>0.00</c:formatCode>
                <c:ptCount val="6"/>
                <c:pt idx="0">
                  <c:v>4.25</c:v>
                </c:pt>
                <c:pt idx="1">
                  <c:v>5</c:v>
                </c:pt>
                <c:pt idx="2">
                  <c:v>4.8</c:v>
                </c:pt>
                <c:pt idx="3">
                  <c:v>4.6363636363636367</c:v>
                </c:pt>
                <c:pt idx="4">
                  <c:v>0</c:v>
                </c:pt>
                <c:pt idx="5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4-D7B3-45F8-BD65-D62CF8957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885745"/>
        <c:axId val="483089166"/>
      </c:barChart>
      <c:catAx>
        <c:axId val="1458885745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/>
            </a:pPr>
            <a:endParaRPr lang="uk-UA"/>
          </a:p>
        </c:txPr>
        <c:crossAx val="483089166"/>
        <c:crosses val="autoZero"/>
        <c:auto val="1"/>
        <c:lblAlgn val="ctr"/>
        <c:lblOffset val="100"/>
        <c:noMultiLvlLbl val="1"/>
      </c:catAx>
      <c:valAx>
        <c:axId val="48308916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458885745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3000"/>
          </a:pPr>
          <a:endParaRPr lang="uk-UA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ролі в суді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srv!$A$7:$A$10</c:f>
              <c:strCache>
                <c:ptCount val="4"/>
                <c:pt idx="0">
                  <c:v>Респонденти, які представляють особисто себе</c:v>
                </c:pt>
                <c:pt idx="1">
                  <c:v>Респонденти, які представляють іншу особу</c:v>
                </c:pt>
                <c:pt idx="2">
                  <c:v>Респонденти, які не є учасниками судових проваджень</c:v>
                </c:pt>
                <c:pt idx="3">
                  <c:v>Інші респонденти</c:v>
                </c:pt>
              </c:strCache>
            </c:strRef>
          </c:cat>
          <c:val>
            <c:numRef>
              <c:f>srv!$F$7:$F$10</c:f>
              <c:numCache>
                <c:formatCode>0.00</c:formatCode>
                <c:ptCount val="4"/>
                <c:pt idx="0">
                  <c:v>4.7692307692307692</c:v>
                </c:pt>
                <c:pt idx="1">
                  <c:v>4.666666666666667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08CD-4C60-B090-B02F6A004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651241"/>
        <c:axId val="1326877960"/>
      </c:barChart>
      <c:catAx>
        <c:axId val="98365124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1326877960"/>
        <c:crosses val="autoZero"/>
        <c:auto val="1"/>
        <c:lblAlgn val="ctr"/>
        <c:lblOffset val="100"/>
        <c:noMultiLvlLbl val="1"/>
      </c:catAx>
      <c:valAx>
        <c:axId val="132687796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98365124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3000"/>
          </a:pPr>
          <a:endParaRPr lang="uk-UA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процесу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srv!$A$11:$A$15</c:f>
              <c:strCache>
                <c:ptCount val="5"/>
                <c:pt idx="0">
                  <c:v>Респонденти, що беруть участь у цивільних справах</c:v>
                </c:pt>
                <c:pt idx="1">
                  <c:v>Респонденти, що беруть участь у кримінальних справах</c:v>
                </c:pt>
                <c:pt idx="2">
                  <c:v>Респонденти, що беруть участь у адміністративних справах</c:v>
                </c:pt>
                <c:pt idx="3">
                  <c:v>Респонденти, що беруть участь у господарських справах</c:v>
                </c:pt>
                <c:pt idx="4">
                  <c:v>Респонденти, що беруть участь у справах про адміністративні правопорушення</c:v>
                </c:pt>
              </c:strCache>
            </c:strRef>
          </c:cat>
          <c:val>
            <c:numRef>
              <c:f>srv!$F$11:$F$15</c:f>
              <c:numCache>
                <c:formatCode>0.00</c:formatCode>
                <c:ptCount val="5"/>
                <c:pt idx="0">
                  <c:v>4.6875</c:v>
                </c:pt>
                <c:pt idx="1">
                  <c:v>5</c:v>
                </c:pt>
                <c:pt idx="2">
                  <c:v>4.5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D3C-4D2F-BA52-BC75DD41F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586441"/>
        <c:axId val="1141537630"/>
      </c:barChart>
      <c:catAx>
        <c:axId val="5458644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/>
            </a:pPr>
            <a:endParaRPr lang="uk-UA"/>
          </a:p>
        </c:txPr>
        <c:crossAx val="1141537630"/>
        <c:crosses val="autoZero"/>
        <c:auto val="1"/>
        <c:lblAlgn val="ctr"/>
        <c:lblOffset val="100"/>
        <c:noMultiLvlLbl val="1"/>
      </c:catAx>
      <c:valAx>
        <c:axId val="114153763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5458644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3000"/>
          </a:pPr>
          <a:endParaRPr lang="uk-UA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Доступність суду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6111111111111111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srv!$A$19:$A$27</c:f>
              <c:strCache>
                <c:ptCount val="9"/>
                <c:pt idx="0">
                  <c:v>Чи легко Вам було знайти будівлю суду?</c:v>
                </c:pt>
                <c:pt idx="1">
                  <c:v>Чи зручно Вам діставатися до будівлі суду громадським транспортом?</c:v>
                </c:pt>
                <c:pt idx="2">
                  <c:v>Чи зручно паркувати автомобіль (достатньо паркувальних місць) біля будівлі суду?</c:v>
                </c:pt>
                <c:pt idx="3">
                  <c:v>Чи зазнавали Ви перешкод у доступі до приміщень суду через охорону?</c:v>
                </c:pt>
                <c:pt idx="4">
                  <c:v>Чи можуть люди з обмеженими можливостями безперешкодно потрапити до приміщення суду і користуватися послугами суду?</c:v>
                </c:pt>
                <c:pt idx="5">
                  <c:v>Якщо Вам доводилося телефонувати до суду, чи завжди вдавалось додзвонитися?</c:v>
                </c:pt>
                <c:pt idx="6">
                  <c:v>Якщо Вам доводилося телефонувати до суду, чи завжди вдавалось отримати потрібну інформацію?</c:v>
                </c:pt>
                <c:pt idx="7">
                  <c:v>Чи давав графік роботи канцелярії суду можливість вчасно та безперешкодно вирішувати Ваші справи у суді</c:v>
                </c:pt>
                <c:pt idx="8">
                  <c:v>Чи могли б Ви собі дозволити витрати на послуги адвоката у разі необхідності?</c:v>
                </c:pt>
              </c:strCache>
            </c:strRef>
          </c:cat>
          <c:val>
            <c:numRef>
              <c:f>srv!$B$19:$B$27</c:f>
              <c:numCache>
                <c:formatCode>0.00</c:formatCode>
                <c:ptCount val="9"/>
                <c:pt idx="0">
                  <c:v>4.9642857142857144</c:v>
                </c:pt>
                <c:pt idx="1">
                  <c:v>4.2777777777777777</c:v>
                </c:pt>
                <c:pt idx="2">
                  <c:v>4.7727272727272725</c:v>
                </c:pt>
                <c:pt idx="3">
                  <c:v>4.8571428571428568</c:v>
                </c:pt>
                <c:pt idx="4">
                  <c:v>4.1724137931034484</c:v>
                </c:pt>
                <c:pt idx="5">
                  <c:v>4.4615384615384617</c:v>
                </c:pt>
                <c:pt idx="6">
                  <c:v>4.5384615384615383</c:v>
                </c:pt>
                <c:pt idx="7">
                  <c:v>4.7142857142857144</c:v>
                </c:pt>
                <c:pt idx="8">
                  <c:v>3.5909090909090908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03D-4545-9632-0CDD3C5C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772184"/>
        <c:axId val="1731668038"/>
      </c:barChart>
      <c:catAx>
        <c:axId val="537721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1731668038"/>
        <c:crosses val="autoZero"/>
        <c:auto val="1"/>
        <c:lblAlgn val="ctr"/>
        <c:lblOffset val="100"/>
        <c:noMultiLvlLbl val="1"/>
      </c:catAx>
      <c:valAx>
        <c:axId val="173166803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53772184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Зручність та комфортність перебування у суді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6111111111111111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srv!$A$29:$A$32</c:f>
              <c:strCache>
                <c:ptCount val="4"/>
                <c:pt idx="0">
                  <c:v>достатність місць для очікування, оформлення документів, підготовки до засідання</c:v>
                </c:pt>
                <c:pt idx="1">
                  <c:v>вільний доступ до побутових приміщень (туалетів)</c:v>
                </c:pt>
                <c:pt idx="2">
                  <c:v>чистота та прибраність приміщень</c:v>
                </c:pt>
                <c:pt idx="3">
                  <c:v>достатність освітлення</c:v>
                </c:pt>
              </c:strCache>
            </c:strRef>
          </c:cat>
          <c:val>
            <c:numRef>
              <c:f>srv!$B$29:$B$32</c:f>
              <c:numCache>
                <c:formatCode>0.00</c:formatCode>
                <c:ptCount val="4"/>
                <c:pt idx="0">
                  <c:v>4.8</c:v>
                </c:pt>
                <c:pt idx="1">
                  <c:v>4.7586206896551726</c:v>
                </c:pt>
                <c:pt idx="2">
                  <c:v>4.8620689655172411</c:v>
                </c:pt>
                <c:pt idx="3">
                  <c:v>4.9000000000000004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619-4A82-9484-FF6632874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2252306"/>
        <c:axId val="1506090447"/>
      </c:barChart>
      <c:catAx>
        <c:axId val="1942252306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1506090447"/>
        <c:crosses val="autoZero"/>
        <c:auto val="1"/>
        <c:lblAlgn val="ctr"/>
        <c:lblOffset val="100"/>
        <c:noMultiLvlLbl val="1"/>
      </c:catAx>
      <c:valAx>
        <c:axId val="150609044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94225230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Повнота та ясність інформації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6111111111111111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srv!$A$34:$A$40</c:f>
              <c:strCache>
                <c:ptCount val="7"/>
                <c:pt idx="0">
                  <c:v>Чи зручно у суді розташовані інформаційні стенди (дошки об’яв)?</c:v>
                </c:pt>
                <c:pt idx="1">
                  <c:v>Чи задовольняє Вас інформація щодо розташування кабінетів, залів судових засідань, інших приміщень</c:v>
                </c:pt>
                <c:pt idx="2">
                  <c:v>Чи задовольняє Вас інформація щодо правил допуску в суд та перебування в ньому</c:v>
                </c:pt>
                <c:pt idx="3">
                  <c:v>Чи задовольняє Вас інформація щодо справ, що призначені до розгляду</c:v>
                </c:pt>
                <c:pt idx="4">
                  <c:v>Чи задовольняє Вас інформація щодо зразків документів (заяв, клопотань тощо)</c:v>
                </c:pt>
                <c:pt idx="5">
                  <c:v>Чи задовольняє Вас інформація щодо порядку сплати судових зборів та мита, реквізити та розміри платежів</c:v>
                </c:pt>
                <c:pt idx="6">
                  <c:v>Чи знайшли Ви на сторінці суду потрібну для Вас інформацію?</c:v>
                </c:pt>
              </c:strCache>
            </c:strRef>
          </c:cat>
          <c:val>
            <c:numRef>
              <c:f>srv!$B$34:$B$40</c:f>
              <c:numCache>
                <c:formatCode>0.00</c:formatCode>
                <c:ptCount val="7"/>
                <c:pt idx="0">
                  <c:v>4.8</c:v>
                </c:pt>
                <c:pt idx="1">
                  <c:v>4.9000000000000004</c:v>
                </c:pt>
                <c:pt idx="2">
                  <c:v>4.8965517241379306</c:v>
                </c:pt>
                <c:pt idx="3">
                  <c:v>4.8275862068965516</c:v>
                </c:pt>
                <c:pt idx="4">
                  <c:v>4.7586206896551726</c:v>
                </c:pt>
                <c:pt idx="5">
                  <c:v>4.7037037037037033</c:v>
                </c:pt>
                <c:pt idx="6">
                  <c:v>4.125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338-4B90-AA50-8FB4A63B3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830159"/>
        <c:axId val="102042704"/>
      </c:barChart>
      <c:catAx>
        <c:axId val="1908830159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102042704"/>
        <c:crosses val="autoZero"/>
        <c:auto val="1"/>
        <c:lblAlgn val="ctr"/>
        <c:lblOffset val="100"/>
        <c:noMultiLvlLbl val="1"/>
      </c:catAx>
      <c:valAx>
        <c:axId val="1020427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908830159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Сприйняття роботи працівників апарату суду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61111111111111116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srv!$A$43:$A$47</c:f>
              <c:strCache>
                <c:ptCount val="5"/>
                <c:pt idx="0">
                  <c:v>Чи старанно працювали працівники суду?</c:v>
                </c:pt>
                <c:pt idx="1">
                  <c:v>Чи не припускалися працівники апарату суду помилок, які призводили б до перероблення документів та (або) порушення строків розгляду справ?</c:v>
                </c:pt>
                <c:pt idx="2">
                  <c:v>Чи виявили працівники апарату суду при спілкуванні з Вами доброзичливість, повагу, бажання допомогти</c:v>
                </c:pt>
                <c:pt idx="3">
                  <c:v>Чи виявили працівники апарату суду при спілкуванні з Вами однакове ставлення до всіх, незалежно від соціального статусу</c:v>
                </c:pt>
                <c:pt idx="4">
                  <c:v>Чи виявили працівники апарату суду при спілкуванні з Вами професіоналізм, знання своєї справи</c:v>
                </c:pt>
              </c:strCache>
            </c:strRef>
          </c:cat>
          <c:val>
            <c:numRef>
              <c:f>srv!$B$43:$B$47</c:f>
              <c:numCache>
                <c:formatCode>0.00</c:formatCode>
                <c:ptCount val="5"/>
                <c:pt idx="0">
                  <c:v>4.6071428571428568</c:v>
                </c:pt>
                <c:pt idx="1">
                  <c:v>4.68</c:v>
                </c:pt>
                <c:pt idx="2">
                  <c:v>4.8888888888888893</c:v>
                </c:pt>
                <c:pt idx="3">
                  <c:v>4.8518518518518521</c:v>
                </c:pt>
                <c:pt idx="4">
                  <c:v>4.8571428571428568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319-41B4-A1A9-826148C7B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976141"/>
        <c:axId val="2072289804"/>
      </c:barChart>
      <c:catAx>
        <c:axId val="185897614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2072289804"/>
        <c:crosses val="autoZero"/>
        <c:auto val="1"/>
        <c:lblAlgn val="ctr"/>
        <c:lblOffset val="100"/>
        <c:noMultiLvlLbl val="1"/>
      </c:catAx>
      <c:valAx>
        <c:axId val="20722898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858976141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Дотримання строків судового розгляду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7162698412698412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Block2!$A$63:$A$66</c:f>
              <c:strCache>
                <c:ptCount val="4"/>
                <c:pt idx="0">
                  <c:v>Чи вчасно (відповідно до графіка) розпочалося останнє засідання по Вашій справі?</c:v>
                </c:pt>
                <c:pt idx="1">
                  <c:v>Чи було враховано Ваші побажання при призначенні дня та часу засідання?</c:v>
                </c:pt>
                <c:pt idx="2">
                  <c:v>Чи вчасно Ви отримували повістки та повідомлення про розгляд справи?</c:v>
                </c:pt>
                <c:pt idx="3">
                  <c:v>Чи вважаєте Ви обґрунтованими затримки/ перенесення слухань у розгляді Вашої справи?</c:v>
                </c:pt>
              </c:strCache>
            </c:strRef>
          </c:cat>
          <c:val>
            <c:numRef>
              <c:f>Block2!$H$63:$H$66</c:f>
              <c:numCache>
                <c:formatCode>0.00</c:formatCode>
                <c:ptCount val="4"/>
                <c:pt idx="0">
                  <c:v>4.7142857142857144</c:v>
                </c:pt>
                <c:pt idx="1">
                  <c:v>4.7142857142857144</c:v>
                </c:pt>
                <c:pt idx="2">
                  <c:v>4.5</c:v>
                </c:pt>
                <c:pt idx="3">
                  <c:v>4.4444444444444446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E7D4-4E10-B2A1-288D62CCF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8743463"/>
        <c:axId val="1441732076"/>
      </c:barChart>
      <c:catAx>
        <c:axId val="1928743463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1441732076"/>
        <c:crosses val="autoZero"/>
        <c:auto val="1"/>
        <c:lblAlgn val="ctr"/>
        <c:lblOffset val="100"/>
        <c:noMultiLvlLbl val="1"/>
      </c:catAx>
      <c:valAx>
        <c:axId val="144173207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928743463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Сприйняття роботи судді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8.2194443384806318E-2"/>
          <c:y val="0.10813492063492064"/>
          <c:w val="0.88318055661519379"/>
          <c:h val="0.7162698412698412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3C47D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Block2!$A$74:$A$78</c:f>
              <c:strCache>
                <c:ptCount val="5"/>
                <c:pt idx="0">
                  <c:v>– неупередженість та незалежність (суддя не піддався зовнішньому тиску, якщо такий був)</c:v>
                </c:pt>
                <c:pt idx="1">
                  <c:v>– коректність, доброзичливість, ввічливість</c:v>
                </c:pt>
                <c:pt idx="2">
                  <c:v>– належна підготовка до справи та знання справи</c:v>
                </c:pt>
                <c:pt idx="3">
                  <c:v>– надання можливостей сторонам обґрунтовувати свою позицію</c:v>
                </c:pt>
                <c:pt idx="4">
                  <c:v>– дотримання процедури розгляду</c:v>
                </c:pt>
              </c:strCache>
            </c:strRef>
          </c:cat>
          <c:val>
            <c:numRef>
              <c:f>Block2!$H$74:$H$78</c:f>
              <c:numCache>
                <c:formatCode>0.00</c:formatCode>
                <c:ptCount val="5"/>
                <c:pt idx="0">
                  <c:v>4.4230769230769234</c:v>
                </c:pt>
                <c:pt idx="1">
                  <c:v>4.9642857142857144</c:v>
                </c:pt>
                <c:pt idx="2">
                  <c:v>4.9629629629629628</c:v>
                </c:pt>
                <c:pt idx="3">
                  <c:v>4.7407407407407405</c:v>
                </c:pt>
                <c:pt idx="4">
                  <c:v>4.8888888888888893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90F2-4A9E-9F6A-B2F393585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3032367"/>
        <c:axId val="871334700"/>
      </c:barChart>
      <c:catAx>
        <c:axId val="1363032367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 rot="0"/>
          <a:lstStyle/>
          <a:p>
            <a:pPr lvl="0">
              <a:defRPr b="0"/>
            </a:pPr>
            <a:endParaRPr lang="uk-UA"/>
          </a:p>
        </c:txPr>
        <c:crossAx val="871334700"/>
        <c:crosses val="autoZero"/>
        <c:auto val="1"/>
        <c:lblAlgn val="ctr"/>
        <c:lblOffset val="100"/>
        <c:noMultiLvlLbl val="1"/>
      </c:catAx>
      <c:valAx>
        <c:axId val="87133470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363032367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Стать респондентів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F560-4521-9FE6-9F914BAC7BF3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F560-4521-9FE6-9F914BAC7BF3}"/>
              </c:ext>
            </c:extLst>
          </c:dPt>
          <c:cat>
            <c:strRef>
              <c:f>Block1!$E$6:$E$7</c:f>
              <c:strCache>
                <c:ptCount val="2"/>
                <c:pt idx="0">
                  <c:v>Чоловіча</c:v>
                </c:pt>
                <c:pt idx="1">
                  <c:v>Жіноча</c:v>
                </c:pt>
              </c:strCache>
            </c:strRef>
          </c:cat>
          <c:val>
            <c:numRef>
              <c:f>Block1!$F$6:$F$7</c:f>
              <c:numCache>
                <c:formatCode>General</c:formatCode>
                <c:ptCount val="2"/>
                <c:pt idx="0">
                  <c:v>21</c:v>
                </c:pt>
                <c:pt idx="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60-4521-9FE6-9F914BAC7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рівнем освіти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7BE2-4D31-A147-5B3348C7D1A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7BE2-4D31-A147-5B3348C7D1A9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7BE2-4D31-A147-5B3348C7D1A9}"/>
              </c:ext>
            </c:extLst>
          </c:dPt>
          <c:cat>
            <c:strRef>
              <c:f>Block1!$A$12:$A$14</c:f>
              <c:strCache>
                <c:ptCount val="3"/>
                <c:pt idx="0">
                  <c:v>Середня та неповна середня</c:v>
                </c:pt>
                <c:pt idx="1">
                  <c:v>Вища та неповна вища</c:v>
                </c:pt>
                <c:pt idx="2">
                  <c:v>Інше</c:v>
                </c:pt>
              </c:strCache>
            </c:strRef>
          </c:cat>
          <c:val>
            <c:numRef>
              <c:f>Block1!$B$12:$B$14</c:f>
              <c:numCache>
                <c:formatCode>General</c:formatCode>
                <c:ptCount val="3"/>
                <c:pt idx="0">
                  <c:v>9</c:v>
                </c:pt>
                <c:pt idx="1">
                  <c:v>20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E2-4D31-A147-5B3348C7D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Вища юридична освіта у респондентів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02F0-46CF-B4F6-8982A8CB4DD9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02F0-46CF-B4F6-8982A8CB4DD9}"/>
              </c:ext>
            </c:extLst>
          </c:dPt>
          <c:cat>
            <c:strRef>
              <c:f>Block1!$E$12:$E$13</c:f>
              <c:strCache>
                <c:ptCount val="2"/>
                <c:pt idx="0">
                  <c:v>Так</c:v>
                </c:pt>
                <c:pt idx="1">
                  <c:v>Ні</c:v>
                </c:pt>
              </c:strCache>
            </c:strRef>
          </c:cat>
          <c:val>
            <c:numRef>
              <c:f>Block1!$F$12:$F$13</c:f>
              <c:numCache>
                <c:formatCode>General</c:formatCode>
                <c:ptCount val="2"/>
                <c:pt idx="0">
                  <c:v>13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F0-46CF-B4F6-8982A8CB4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матеріальним станом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5DA6-4630-AD93-4F90C1EC7637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5DA6-4630-AD93-4F90C1EC7637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5DA6-4630-AD93-4F90C1EC7637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5DA6-4630-AD93-4F90C1EC7637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5DA6-4630-AD93-4F90C1EC7637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>
              <c:ext xmlns:c16="http://schemas.microsoft.com/office/drawing/2014/chart" uri="{C3380CC4-5D6E-409C-BE32-E72D297353CC}">
                <c16:uniqueId val="{0000000B-5DA6-4630-AD93-4F90C1EC7637}"/>
              </c:ext>
            </c:extLst>
          </c:dPt>
          <c:cat>
            <c:strRef>
              <c:f>Block1!$A$21:$A$26</c:f>
              <c:strCache>
                <c:ptCount val="6"/>
                <c:pt idx="0">
                  <c:v>Змушені економити на харчуванні</c:v>
                </c:pt>
                <c:pt idx="1">
                  <c:v>Вистачає на харчування та необхідний одяг, взуття. Для таких покупок як гарний  костюм, мобільний телефон, пилосос необхідно заощадити або позичити</c:v>
                </c:pt>
                <c:pt idx="2">
                  <c:v>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</c:v>
                </c:pt>
                <c:pt idx="3">
                  <c:v>Вистачає на харчування, одяг, взуття, дорогі покупки. Для таких покупок як машина, квартира необхідно заощадити або позичити</c:v>
                </c:pt>
                <c:pt idx="4">
                  <c:v>Будь-які необхідні покупки можу зробити в будь-який час</c:v>
                </c:pt>
                <c:pt idx="5">
                  <c:v>Не відповіли</c:v>
                </c:pt>
              </c:strCache>
            </c:strRef>
          </c:cat>
          <c:val>
            <c:numRef>
              <c:f>Block1!$F$21:$F$26</c:f>
              <c:numCache>
                <c:formatCode>General</c:formatCode>
                <c:ptCount val="6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0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DA6-4630-AD93-4F90C1EC7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Розподіл респондентів за роллю в суді</a:t>
            </a:r>
          </a:p>
        </c:rich>
      </c:tx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4479-44BC-A45D-C77FDAECCCA1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4479-44BC-A45D-C77FDAECCCA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4479-44BC-A45D-C77FDAECCCA1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4479-44BC-A45D-C77FDAECCCA1}"/>
              </c:ext>
            </c:extLst>
          </c:dPt>
          <c:cat>
            <c:strRef>
              <c:f>Block1!$A$29:$A$32</c:f>
              <c:strCache>
                <c:ptCount val="4"/>
                <c:pt idx="0">
                  <c:v>Є учасником судових проваджень і представляєте особисто себе</c:v>
                </c:pt>
                <c:pt idx="1">
                  <c:v>Є учасником судових проваджень, але представляєте іншу фізичну чи юридичну особу (є адвокатом, представником прокуратури, юрист-консультантом)</c:v>
                </c:pt>
                <c:pt idx="2">
                  <c:v>Не є учасником судових проваджень</c:v>
                </c:pt>
                <c:pt idx="3">
                  <c:v>Інше</c:v>
                </c:pt>
              </c:strCache>
            </c:strRef>
          </c:cat>
          <c:val>
            <c:numRef>
              <c:f>Block1!$F$29:$F$32</c:f>
              <c:numCache>
                <c:formatCode>General</c:formatCode>
                <c:ptCount val="4"/>
                <c:pt idx="0">
                  <c:v>16</c:v>
                </c:pt>
                <c:pt idx="1">
                  <c:v>9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479-44BC-A45D-C77FDAECC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віку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Block1!$A$61:$A$64</c:f>
              <c:strCache>
                <c:ptCount val="4"/>
                <c:pt idx="0">
                  <c:v>Середня оцінка респонентами віком 18-25 років</c:v>
                </c:pt>
                <c:pt idx="1">
                  <c:v>Середня оцінка респонентами віком 26–39 років</c:v>
                </c:pt>
                <c:pt idx="2">
                  <c:v>Середня оцінка респонентами віком 40–59 років</c:v>
                </c:pt>
                <c:pt idx="3">
                  <c:v>Середня оцінка респонентами віком 60 років і старше</c:v>
                </c:pt>
              </c:strCache>
            </c:strRef>
          </c:cat>
          <c:val>
            <c:numRef>
              <c:f>Block1!$F$61:$F$64</c:f>
              <c:numCache>
                <c:formatCode>0.00</c:formatCode>
                <c:ptCount val="4"/>
                <c:pt idx="0">
                  <c:v>5</c:v>
                </c:pt>
                <c:pt idx="1">
                  <c:v>4.9000000000000004</c:v>
                </c:pt>
                <c:pt idx="2">
                  <c:v>4.5</c:v>
                </c:pt>
                <c:pt idx="3">
                  <c:v>4.5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DDF-4C57-9886-68BC4430B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3812674"/>
        <c:axId val="2074577208"/>
      </c:barChart>
      <c:catAx>
        <c:axId val="38381267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2074577208"/>
        <c:crosses val="autoZero"/>
        <c:auto val="1"/>
        <c:lblAlgn val="ctr"/>
        <c:lblOffset val="100"/>
        <c:noMultiLvlLbl val="1"/>
      </c:catAx>
      <c:valAx>
        <c:axId val="207457720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383812674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статі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Block1!$A$65:$A$66</c:f>
              <c:strCache>
                <c:ptCount val="2"/>
                <c:pt idx="0">
                  <c:v>Середня оцінка жінками</c:v>
                </c:pt>
                <c:pt idx="1">
                  <c:v>Середня оцінка чоловіками</c:v>
                </c:pt>
              </c:strCache>
            </c:strRef>
          </c:cat>
          <c:val>
            <c:numRef>
              <c:f>Block1!$F$65:$F$66</c:f>
              <c:numCache>
                <c:formatCode>0.00</c:formatCode>
                <c:ptCount val="2"/>
                <c:pt idx="0">
                  <c:v>4.7142857142857144</c:v>
                </c:pt>
                <c:pt idx="1">
                  <c:v>4.6842105263157894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7AE1-40F2-84D7-E4AB70424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044392"/>
        <c:axId val="409669265"/>
      </c:barChart>
      <c:catAx>
        <c:axId val="149104439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uk-UA"/>
          </a:p>
        </c:txPr>
        <c:crossAx val="409669265"/>
        <c:crosses val="autoZero"/>
        <c:auto val="1"/>
        <c:lblAlgn val="ctr"/>
        <c:lblOffset val="100"/>
        <c:noMultiLvlLbl val="1"/>
      </c:catAx>
      <c:valAx>
        <c:axId val="40966926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1491044392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t>Середня оцінка респондентами залежно від освіти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3366CC"/>
            </a:solidFill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0" i="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Block1!$A$67:$A$71</c:f>
              <c:strCache>
                <c:ptCount val="5"/>
                <c:pt idx="0">
                  <c:v>Середня оцінка респондентами з середньою та неповною середньою освітою </c:v>
                </c:pt>
                <c:pt idx="1">
                  <c:v>Середня оцінка респондентами з вищою та неповною вищою освітою </c:v>
                </c:pt>
                <c:pt idx="2">
                  <c:v>Середня оцінка респондентами, які мають іншу освіту </c:v>
                </c:pt>
                <c:pt idx="3">
                  <c:v>Середня оцінка респондентами, які мають вищу юридичну освіту</c:v>
                </c:pt>
                <c:pt idx="4">
                  <c:v>Середня оцінка респондентами, які не мають вищої юридичної освіти</c:v>
                </c:pt>
              </c:strCache>
            </c:strRef>
          </c:cat>
          <c:val>
            <c:numRef>
              <c:f>Block1!$F$67:$F$71</c:f>
              <c:numCache>
                <c:formatCode>0.00</c:formatCode>
                <c:ptCount val="5"/>
                <c:pt idx="0">
                  <c:v>4.625</c:v>
                </c:pt>
                <c:pt idx="1">
                  <c:v>4.7058823529411766</c:v>
                </c:pt>
                <c:pt idx="2">
                  <c:v>5</c:v>
                </c:pt>
                <c:pt idx="3">
                  <c:v>4.75</c:v>
                </c:pt>
                <c:pt idx="4">
                  <c:v>4.6428571428571432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6C5-4261-83CE-80E1ED473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333294"/>
        <c:axId val="1192254194"/>
      </c:barChart>
      <c:catAx>
        <c:axId val="202333329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00" b="0"/>
            </a:pPr>
            <a:endParaRPr lang="uk-UA"/>
          </a:p>
        </c:txPr>
        <c:crossAx val="1192254194"/>
        <c:crosses val="autoZero"/>
        <c:auto val="1"/>
        <c:lblAlgn val="ctr"/>
        <c:lblOffset val="100"/>
        <c:noMultiLvlLbl val="1"/>
      </c:catAx>
      <c:valAx>
        <c:axId val="119225419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0.0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uk-UA"/>
          </a:p>
        </c:txPr>
        <c:crossAx val="2023333294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3000"/>
          </a:pPr>
          <a:endParaRPr lang="uk-UA"/>
        </a:p>
      </c:txPr>
    </c:legend>
    <c:plotVisOnly val="1"/>
    <c:dispBlanksAs val="zero"/>
    <c:showDLblsOverMax val="1"/>
  </c:chart>
  <c:spPr>
    <a:solidFill>
      <a:srgbClr val="FFFFFF">
        <a:alpha val="0"/>
      </a:srgb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5715000" cy="3533775"/>
    <xdr:graphicFrame macro="">
      <xdr:nvGraphicFramePr>
        <xdr:cNvPr id="2" name="Chart 1" title="Діаграма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6</xdr:col>
      <xdr:colOff>152400</xdr:colOff>
      <xdr:row>0</xdr:row>
      <xdr:rowOff>104775</xdr:rowOff>
    </xdr:from>
    <xdr:ext cx="5715000" cy="3533775"/>
    <xdr:graphicFrame macro="">
      <xdr:nvGraphicFramePr>
        <xdr:cNvPr id="3" name="Chart 2" title="Діаграма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66675</xdr:colOff>
      <xdr:row>18</xdr:row>
      <xdr:rowOff>142875</xdr:rowOff>
    </xdr:from>
    <xdr:ext cx="5734050" cy="3543300"/>
    <xdr:graphicFrame macro="">
      <xdr:nvGraphicFramePr>
        <xdr:cNvPr id="4" name="Chart 3" title="Діаграма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6</xdr:col>
      <xdr:colOff>152400</xdr:colOff>
      <xdr:row>18</xdr:row>
      <xdr:rowOff>142875</xdr:rowOff>
    </xdr:from>
    <xdr:ext cx="5715000" cy="3543300"/>
    <xdr:graphicFrame macro="">
      <xdr:nvGraphicFramePr>
        <xdr:cNvPr id="5" name="Chart 4" title="Діаграма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66675</xdr:colOff>
      <xdr:row>37</xdr:row>
      <xdr:rowOff>104775</xdr:rowOff>
    </xdr:from>
    <xdr:ext cx="5715000" cy="3543300"/>
    <xdr:graphicFrame macro="">
      <xdr:nvGraphicFramePr>
        <xdr:cNvPr id="6" name="Chart 5" title="Діаграма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6</xdr:col>
      <xdr:colOff>161925</xdr:colOff>
      <xdr:row>37</xdr:row>
      <xdr:rowOff>95250</xdr:rowOff>
    </xdr:from>
    <xdr:ext cx="5715000" cy="3543300"/>
    <xdr:graphicFrame macro="">
      <xdr:nvGraphicFramePr>
        <xdr:cNvPr id="7" name="Chart 6" title="Діаграма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  <xdr:oneCellAnchor>
    <xdr:from>
      <xdr:col>0</xdr:col>
      <xdr:colOff>76200</xdr:colOff>
      <xdr:row>55</xdr:row>
      <xdr:rowOff>161925</xdr:rowOff>
    </xdr:from>
    <xdr:ext cx="5686425" cy="3533775"/>
    <xdr:graphicFrame macro="">
      <xdr:nvGraphicFramePr>
        <xdr:cNvPr id="8" name="Chart 7" title="Діаграма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oneCellAnchor>
  <xdr:oneCellAnchor>
    <xdr:from>
      <xdr:col>6</xdr:col>
      <xdr:colOff>161925</xdr:colOff>
      <xdr:row>55</xdr:row>
      <xdr:rowOff>171450</xdr:rowOff>
    </xdr:from>
    <xdr:ext cx="5686425" cy="3533775"/>
    <xdr:graphicFrame macro="">
      <xdr:nvGraphicFramePr>
        <xdr:cNvPr id="9" name="Chart 8" title="Діаграма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oneCellAnchor>
  <xdr:oneCellAnchor>
    <xdr:from>
      <xdr:col>0</xdr:col>
      <xdr:colOff>85725</xdr:colOff>
      <xdr:row>74</xdr:row>
      <xdr:rowOff>28575</xdr:rowOff>
    </xdr:from>
    <xdr:ext cx="5686425" cy="3533775"/>
    <xdr:graphicFrame macro="">
      <xdr:nvGraphicFramePr>
        <xdr:cNvPr id="10" name="Chart 9" title="Діаграма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oneCellAnchor>
  <xdr:oneCellAnchor>
    <xdr:from>
      <xdr:col>6</xdr:col>
      <xdr:colOff>152400</xdr:colOff>
      <xdr:row>74</xdr:row>
      <xdr:rowOff>38100</xdr:rowOff>
    </xdr:from>
    <xdr:ext cx="5686425" cy="3533775"/>
    <xdr:graphicFrame macro="">
      <xdr:nvGraphicFramePr>
        <xdr:cNvPr id="11" name="Chart 10" title="Діаграма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oneCellAnchor>
  <xdr:oneCellAnchor>
    <xdr:from>
      <xdr:col>0</xdr:col>
      <xdr:colOff>66675</xdr:colOff>
      <xdr:row>92</xdr:row>
      <xdr:rowOff>95250</xdr:rowOff>
    </xdr:from>
    <xdr:ext cx="5686425" cy="3533775"/>
    <xdr:graphicFrame macro="">
      <xdr:nvGraphicFramePr>
        <xdr:cNvPr id="12" name="Chart 11" title="Діаграма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oneCellAnchor>
  <xdr:oneCellAnchor>
    <xdr:from>
      <xdr:col>0</xdr:col>
      <xdr:colOff>66675</xdr:colOff>
      <xdr:row>110</xdr:row>
      <xdr:rowOff>152400</xdr:rowOff>
    </xdr:from>
    <xdr:ext cx="5686425" cy="3533775"/>
    <xdr:graphicFrame macro="">
      <xdr:nvGraphicFramePr>
        <xdr:cNvPr id="13" name="Chart 12" title="Діаграма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oneCellAnchor>
  <xdr:oneCellAnchor>
    <xdr:from>
      <xdr:col>6</xdr:col>
      <xdr:colOff>152400</xdr:colOff>
      <xdr:row>92</xdr:row>
      <xdr:rowOff>104775</xdr:rowOff>
    </xdr:from>
    <xdr:ext cx="5686425" cy="3533775"/>
    <xdr:graphicFrame macro="">
      <xdr:nvGraphicFramePr>
        <xdr:cNvPr id="14" name="Chart 13" title="Діаграма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57150</xdr:rowOff>
    </xdr:from>
    <xdr:ext cx="10144125" cy="4800600"/>
    <xdr:graphicFrame macro="">
      <xdr:nvGraphicFramePr>
        <xdr:cNvPr id="14" name="Chart 14" title="Діаграма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47625</xdr:colOff>
      <xdr:row>27</xdr:row>
      <xdr:rowOff>57150</xdr:rowOff>
    </xdr:from>
    <xdr:ext cx="10144125" cy="4800600"/>
    <xdr:graphicFrame macro="">
      <xdr:nvGraphicFramePr>
        <xdr:cNvPr id="15" name="Chart 15" title="Діаграма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47625</xdr:colOff>
      <xdr:row>54</xdr:row>
      <xdr:rowOff>57150</xdr:rowOff>
    </xdr:from>
    <xdr:ext cx="10144125" cy="4800600"/>
    <xdr:graphicFrame macro="">
      <xdr:nvGraphicFramePr>
        <xdr:cNvPr id="16" name="Chart 16" title="Діаграма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0</xdr:col>
      <xdr:colOff>47625</xdr:colOff>
      <xdr:row>80</xdr:row>
      <xdr:rowOff>57150</xdr:rowOff>
    </xdr:from>
    <xdr:ext cx="10144125" cy="4800600"/>
    <xdr:graphicFrame macro="">
      <xdr:nvGraphicFramePr>
        <xdr:cNvPr id="17" name="Chart 17" title="Діаграма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  <xdr:oneCellAnchor>
    <xdr:from>
      <xdr:col>0</xdr:col>
      <xdr:colOff>47625</xdr:colOff>
      <xdr:row>107</xdr:row>
      <xdr:rowOff>57150</xdr:rowOff>
    </xdr:from>
    <xdr:ext cx="10144125" cy="4800600"/>
    <xdr:graphicFrame macro="">
      <xdr:nvGraphicFramePr>
        <xdr:cNvPr id="18" name="Chart 18" title="Діаграма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oneCellAnchor>
  <xdr:oneCellAnchor>
    <xdr:from>
      <xdr:col>0</xdr:col>
      <xdr:colOff>47625</xdr:colOff>
      <xdr:row>133</xdr:row>
      <xdr:rowOff>57150</xdr:rowOff>
    </xdr:from>
    <xdr:ext cx="10144125" cy="4800600"/>
    <xdr:graphicFrame macro="">
      <xdr:nvGraphicFramePr>
        <xdr:cNvPr id="19" name="Chart 19" title="Діаграма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919"/>
  <sheetViews>
    <sheetView tabSelected="1" topLeftCell="A188" workbookViewId="0">
      <selection activeCell="A2" sqref="A2:K205"/>
    </sheetView>
  </sheetViews>
  <sheetFormatPr defaultColWidth="14.44140625" defaultRowHeight="15.75" customHeight="1" x14ac:dyDescent="0.25"/>
  <cols>
    <col min="1" max="1" width="4.44140625" customWidth="1"/>
    <col min="2" max="2" width="50.6640625" customWidth="1"/>
    <col min="3" max="3" width="12.33203125" customWidth="1"/>
    <col min="4" max="4" width="10.5546875" customWidth="1"/>
    <col min="5" max="6" width="8.5546875" customWidth="1"/>
    <col min="7" max="7" width="9.33203125" customWidth="1"/>
    <col min="8" max="8" width="8.6640625" customWidth="1"/>
    <col min="9" max="9" width="9.109375" customWidth="1"/>
    <col min="10" max="10" width="10.6640625" customWidth="1"/>
  </cols>
  <sheetData>
    <row r="1" spans="1:30" ht="15.75" customHeight="1" x14ac:dyDescent="0.25">
      <c r="A1" s="4"/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15.75" customHeight="1" x14ac:dyDescent="0.35">
      <c r="A2" s="7"/>
      <c r="B2" s="11" t="s">
        <v>1</v>
      </c>
      <c r="C2" s="14"/>
      <c r="D2" s="17">
        <f>COUNT(Data!$A$2:$A$500)</f>
        <v>30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ht="15.6" x14ac:dyDescent="0.3">
      <c r="A3" s="19"/>
      <c r="B3" s="147" t="s">
        <v>8</v>
      </c>
      <c r="C3" s="135"/>
      <c r="D3" s="13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5.6" x14ac:dyDescent="0.3">
      <c r="A4" s="21"/>
      <c r="B4" s="22" t="s">
        <v>7</v>
      </c>
      <c r="C4" s="23">
        <f>COUNTIF(Data!B$2:B$300,"18–25 років")</f>
        <v>2</v>
      </c>
      <c r="D4" s="24">
        <f>C4/COUNT(Data!$A$2:$A$500)</f>
        <v>6.6666666666666666E-2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6" x14ac:dyDescent="0.3">
      <c r="A5" s="21"/>
      <c r="B5" s="22" t="s">
        <v>10</v>
      </c>
      <c r="C5" s="23">
        <f>COUNTIF(Data!B$2:B$300,"26–39 років")</f>
        <v>12</v>
      </c>
      <c r="D5" s="24">
        <f>C5/COUNT(Data!$A$2:$A$500)</f>
        <v>0.4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15.6" x14ac:dyDescent="0.3">
      <c r="A6" s="21"/>
      <c r="B6" s="22" t="s">
        <v>12</v>
      </c>
      <c r="C6" s="23">
        <f>COUNTIF(Data!B$2:B$300,"40–59 років")</f>
        <v>14</v>
      </c>
      <c r="D6" s="24">
        <f>C6/COUNT(Data!$A$2:$A$500)</f>
        <v>0.46666666666666667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6" x14ac:dyDescent="0.3">
      <c r="A7" s="21"/>
      <c r="B7" s="22" t="s">
        <v>13</v>
      </c>
      <c r="C7" s="23">
        <f>COUNTIF(Data!B$2:B$300,"60 років і старше")</f>
        <v>2</v>
      </c>
      <c r="D7" s="24">
        <f>C7/COUNT(Data!$A$2:$A$500)</f>
        <v>6.6666666666666666E-2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5.6" x14ac:dyDescent="0.3">
      <c r="A8" s="28"/>
      <c r="B8" s="146" t="s">
        <v>17</v>
      </c>
      <c r="C8" s="135"/>
      <c r="D8" s="13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15.6" x14ac:dyDescent="0.3">
      <c r="A9" s="21"/>
      <c r="B9" s="22" t="s">
        <v>9</v>
      </c>
      <c r="C9" s="23">
        <f>COUNTIF(Data!C$2:C$500,"Чоловіча")</f>
        <v>21</v>
      </c>
      <c r="D9" s="24">
        <f>C9/COUNT(Data!$A$2:$A$500)</f>
        <v>0.7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.6" x14ac:dyDescent="0.3">
      <c r="A10" s="21"/>
      <c r="B10" s="22" t="s">
        <v>11</v>
      </c>
      <c r="C10" s="23">
        <f>COUNTIF(Data!C$2:C$500,"Жіноча")</f>
        <v>9</v>
      </c>
      <c r="D10" s="24">
        <f>C10/COUNT(Data!$A$2:$A$500)</f>
        <v>0.3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6" x14ac:dyDescent="0.3">
      <c r="A11" s="28"/>
      <c r="B11" s="146" t="s">
        <v>23</v>
      </c>
      <c r="C11" s="135"/>
      <c r="D11" s="13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31.2" x14ac:dyDescent="0.3">
      <c r="A12" s="30"/>
      <c r="B12" s="31" t="s">
        <v>25</v>
      </c>
      <c r="C12" s="23">
        <f>COUNTIF(Data!F$2:F$300,"В населеному пункті, де розташований цей суд")</f>
        <v>11</v>
      </c>
      <c r="D12" s="24">
        <f>C12/COUNT(Data!$A$2:$A$500)</f>
        <v>0.36666666666666664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15.6" x14ac:dyDescent="0.3">
      <c r="A13" s="30"/>
      <c r="B13" s="31" t="s">
        <v>26</v>
      </c>
      <c r="C13" s="23">
        <f>COUNTIF(Data!F$2:F$300,"В іншому населеному пункті")</f>
        <v>19</v>
      </c>
      <c r="D13" s="24">
        <f>C13/COUNT(Data!$A$2:$A$500)</f>
        <v>0.6333333333333333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1:30" ht="15.6" x14ac:dyDescent="0.3">
      <c r="A14" s="28"/>
      <c r="B14" s="146" t="s">
        <v>29</v>
      </c>
      <c r="C14" s="135"/>
      <c r="D14" s="13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6" x14ac:dyDescent="0.3">
      <c r="A15" s="30"/>
      <c r="B15" s="31" t="s">
        <v>28</v>
      </c>
      <c r="C15" s="23">
        <f>COUNTIF(Data!G$2:G$300,"Змушені економити на харчуванні")</f>
        <v>5</v>
      </c>
      <c r="D15" s="24">
        <f>C15/COUNT(Data!$A$2:$A$500)</f>
        <v>0.16666666666666666</v>
      </c>
      <c r="E15" s="1"/>
      <c r="F15" s="1"/>
      <c r="L15" s="2"/>
      <c r="M15" s="2"/>
      <c r="N15" s="2"/>
      <c r="O15" s="2"/>
      <c r="P15" s="2"/>
      <c r="Q15" s="2"/>
      <c r="R15" s="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1:30" ht="62.4" x14ac:dyDescent="0.3">
      <c r="A16" s="30"/>
      <c r="B16" s="31" t="s">
        <v>30</v>
      </c>
      <c r="C16" s="23">
        <f>COUNTIF(Data!G$2:G$300,"Вистачає на харчування та необхідний одяг, взуття. Для таких покупок як гарний  костюм, мобільний телефон, пилосос необхідно заощадити або позичити")</f>
        <v>3</v>
      </c>
      <c r="D16" s="24">
        <f>C16/COUNT(Data!$A$2:$A$500)</f>
        <v>0.1</v>
      </c>
      <c r="E16" s="1"/>
      <c r="F16" s="1"/>
      <c r="L16" s="2"/>
      <c r="M16" s="2"/>
      <c r="N16" s="2"/>
      <c r="O16" s="2"/>
      <c r="P16" s="2"/>
      <c r="Q16" s="2"/>
      <c r="R16" s="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78" x14ac:dyDescent="0.3">
      <c r="A17" s="30"/>
      <c r="B17" s="31" t="s">
        <v>31</v>
      </c>
      <c r="C17" s="23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7</v>
      </c>
      <c r="D17" s="24">
        <f>C17/COUNT(Data!$A$2:$A$500)</f>
        <v>0.23333333333333334</v>
      </c>
      <c r="E17" s="1"/>
      <c r="F17" s="1"/>
      <c r="L17" s="2"/>
      <c r="M17" s="2"/>
      <c r="N17" s="2"/>
      <c r="O17" s="2"/>
      <c r="P17" s="2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</row>
    <row r="18" spans="1:30" ht="46.8" x14ac:dyDescent="0.3">
      <c r="A18" s="30"/>
      <c r="B18" s="31" t="s">
        <v>32</v>
      </c>
      <c r="C18" s="23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12</v>
      </c>
      <c r="D18" s="24">
        <f>C18/COUNT(Data!$A$2:$A$500)</f>
        <v>0.4</v>
      </c>
      <c r="E18" s="1"/>
      <c r="F18" s="1"/>
      <c r="L18" s="2"/>
      <c r="M18" s="2"/>
      <c r="N18" s="2"/>
      <c r="O18" s="2"/>
      <c r="P18" s="2"/>
      <c r="Q18" s="2"/>
      <c r="R18" s="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31.2" x14ac:dyDescent="0.3">
      <c r="A19" s="30"/>
      <c r="B19" s="31" t="s">
        <v>33</v>
      </c>
      <c r="C19" s="23">
        <f>COUNTIF(Data!G$2:G$300,"Будь-які необхідні покупки можу зробити в будь-який час")</f>
        <v>0</v>
      </c>
      <c r="D19" s="24">
        <f>C19/COUNT(Data!$A$2:$A$500)</f>
        <v>0</v>
      </c>
      <c r="E19" s="1"/>
      <c r="F19" s="1"/>
      <c r="L19" s="2"/>
      <c r="M19" s="2"/>
      <c r="N19" s="2"/>
      <c r="O19" s="2"/>
      <c r="P19" s="2"/>
      <c r="Q19" s="2"/>
      <c r="R19" s="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6" x14ac:dyDescent="0.3">
      <c r="A20" s="30"/>
      <c r="B20" s="31" t="s">
        <v>35</v>
      </c>
      <c r="C20" s="23">
        <f>COUNTIF(Data!G$2:G$300,"КН (код невідповіді)")</f>
        <v>3</v>
      </c>
      <c r="D20" s="24">
        <f>C20/COUNT(Data!$A$2:$A$500)</f>
        <v>0.1</v>
      </c>
      <c r="E20" s="1"/>
      <c r="F20" s="1"/>
      <c r="L20" s="2"/>
      <c r="M20" s="2"/>
      <c r="N20" s="2"/>
      <c r="O20" s="2"/>
      <c r="P20" s="2"/>
      <c r="Q20" s="2"/>
      <c r="R20" s="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.6" x14ac:dyDescent="0.3">
      <c r="A21" s="28"/>
      <c r="B21" s="146" t="s">
        <v>36</v>
      </c>
      <c r="C21" s="135"/>
      <c r="D21" s="136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</row>
    <row r="22" spans="1:30" ht="15.6" x14ac:dyDescent="0.3">
      <c r="A22" s="33"/>
      <c r="B22" s="34" t="s">
        <v>16</v>
      </c>
      <c r="C22" s="23">
        <f>COUNTIF(Data!D$2:D$300,"Середня та неповна середня")</f>
        <v>9</v>
      </c>
      <c r="D22" s="24">
        <f>C22/COUNT(Data!$A$2:$A$500)</f>
        <v>0.3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6" x14ac:dyDescent="0.3">
      <c r="A23" s="33"/>
      <c r="B23" s="34" t="s">
        <v>19</v>
      </c>
      <c r="C23" s="23">
        <f>COUNTIF(Data!D$2:D$300,"Вища та неповна вища")</f>
        <v>20</v>
      </c>
      <c r="D23" s="24">
        <f>C23/COUNT(Data!$A$2:$A$500)</f>
        <v>0.66666666666666663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ht="15.6" x14ac:dyDescent="0.3">
      <c r="A24" s="33"/>
      <c r="B24" s="34" t="s">
        <v>21</v>
      </c>
      <c r="C24" s="23">
        <f>COUNTIF(Data!D$2:D$300,"Інше (вкажіть)")</f>
        <v>1</v>
      </c>
      <c r="D24" s="24">
        <f>C24/COUNT(Data!$A$2:$A$500)</f>
        <v>3.3333333333333333E-2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6" x14ac:dyDescent="0.3">
      <c r="A25" s="28"/>
      <c r="B25" s="146" t="s">
        <v>41</v>
      </c>
      <c r="C25" s="135"/>
      <c r="D25" s="136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ht="31.2" x14ac:dyDescent="0.3">
      <c r="A26" s="30"/>
      <c r="B26" s="31" t="s">
        <v>38</v>
      </c>
      <c r="C26" s="23">
        <f>COUNTIF(Data!H$2:H$500,"Є учасником судових проваджень і представляєте особисто себе")</f>
        <v>16</v>
      </c>
      <c r="D26" s="24">
        <f>C26/COUNT(Data!$A$2:$A$500)</f>
        <v>0.53333333333333333</v>
      </c>
      <c r="E26" s="1"/>
      <c r="F26" s="1"/>
    </row>
    <row r="27" spans="1:30" ht="62.4" x14ac:dyDescent="0.3">
      <c r="A27" s="30"/>
      <c r="B27" s="31" t="s">
        <v>39</v>
      </c>
      <c r="C27" s="23">
        <f>COUNTIF(Data!H$2:H$500,"Є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9</v>
      </c>
      <c r="D27" s="24">
        <f>C27/COUNT(Data!$A$2:$A$500)</f>
        <v>0.3</v>
      </c>
      <c r="E27" s="1"/>
      <c r="F27" s="1"/>
    </row>
    <row r="28" spans="1:30" ht="15.6" x14ac:dyDescent="0.3">
      <c r="A28" s="30"/>
      <c r="B28" s="31" t="s">
        <v>40</v>
      </c>
      <c r="C28" s="23">
        <f>COUNTIF(Data!H$2:H$500,"Не є учасником судових проваджень")</f>
        <v>3</v>
      </c>
      <c r="D28" s="24">
        <f>C28/COUNT(Data!$A$2:$A$500)</f>
        <v>0.1</v>
      </c>
      <c r="E28" s="1"/>
      <c r="F28" s="1"/>
    </row>
    <row r="29" spans="1:30" ht="15.6" x14ac:dyDescent="0.3">
      <c r="A29" s="30"/>
      <c r="B29" s="31" t="s">
        <v>21</v>
      </c>
      <c r="C29" s="23">
        <f>COUNTIF(Data!H$2:H$500,"Інше")</f>
        <v>2</v>
      </c>
      <c r="D29" s="24">
        <f>C29/COUNT(Data!$A$2:$A$500)</f>
        <v>6.6666666666666666E-2</v>
      </c>
      <c r="E29" s="1"/>
      <c r="F29" s="1"/>
    </row>
    <row r="30" spans="1:30" ht="15.6" x14ac:dyDescent="0.3">
      <c r="A30" s="28"/>
      <c r="B30" s="146" t="s">
        <v>43</v>
      </c>
      <c r="C30" s="135"/>
      <c r="D30" s="136"/>
      <c r="F30" s="1"/>
      <c r="G30" s="1"/>
      <c r="H30" s="1"/>
      <c r="I30" s="1"/>
      <c r="J30" s="1"/>
      <c r="K30" s="1"/>
    </row>
    <row r="31" spans="1:30" ht="15.6" x14ac:dyDescent="0.3">
      <c r="A31" s="30"/>
      <c r="B31" s="31" t="s">
        <v>45</v>
      </c>
      <c r="C31" s="23">
        <f>COUNTIF(Data!I$2:I$500,"Цивільний процес")</f>
        <v>18</v>
      </c>
      <c r="D31" s="24">
        <f>C31/COUNT(Data!$A$2:$A$500)</f>
        <v>0.6</v>
      </c>
      <c r="F31" s="1"/>
      <c r="G31" s="1"/>
      <c r="H31" s="1"/>
      <c r="I31" s="1"/>
      <c r="J31" s="1"/>
      <c r="K31" s="1"/>
    </row>
    <row r="32" spans="1:30" ht="15.6" x14ac:dyDescent="0.3">
      <c r="A32" s="30"/>
      <c r="B32" s="31" t="s">
        <v>46</v>
      </c>
      <c r="C32" s="23">
        <f>COUNTIF(Data!I$2:I$500,"Кримінальний процес")</f>
        <v>4</v>
      </c>
      <c r="D32" s="24">
        <f>C32/COUNT(Data!$A$2:$A$500)</f>
        <v>0.13333333333333333</v>
      </c>
      <c r="F32" s="1"/>
      <c r="G32" s="1"/>
      <c r="H32" s="1"/>
      <c r="I32" s="1"/>
      <c r="J32" s="1"/>
      <c r="K32" s="1"/>
    </row>
    <row r="33" spans="1:30" ht="15.6" x14ac:dyDescent="0.3">
      <c r="A33" s="40"/>
      <c r="B33" s="41" t="s">
        <v>48</v>
      </c>
      <c r="C33" s="23">
        <f>COUNTIF(Data!I$2:I$500,"Адміністративний процес")</f>
        <v>2</v>
      </c>
      <c r="D33" s="24">
        <f>C33/COUNT(Data!$A$2:$A$500)</f>
        <v>6.6666666666666666E-2</v>
      </c>
      <c r="F33" s="1"/>
      <c r="G33" s="1"/>
      <c r="H33" s="1"/>
      <c r="I33" s="1"/>
      <c r="J33" s="1"/>
      <c r="K33" s="1"/>
    </row>
    <row r="34" spans="1:30" ht="15.6" x14ac:dyDescent="0.3">
      <c r="A34" s="40"/>
      <c r="B34" s="41" t="s">
        <v>50</v>
      </c>
      <c r="C34" s="23">
        <f>COUNTIF(Data!I$2:I$500,"Господарський процес")</f>
        <v>0</v>
      </c>
      <c r="D34" s="24">
        <f>C34/COUNT(Data!$A$2:$A$500)</f>
        <v>0</v>
      </c>
      <c r="F34" s="1"/>
      <c r="G34" s="1"/>
      <c r="H34" s="1"/>
      <c r="I34" s="1"/>
      <c r="J34" s="1"/>
      <c r="K34" s="1"/>
    </row>
    <row r="35" spans="1:30" ht="15.6" x14ac:dyDescent="0.3">
      <c r="A35" s="40"/>
      <c r="B35" s="41" t="s">
        <v>51</v>
      </c>
      <c r="C35" s="23">
        <f>COUNTIF(Data!I$2:I$500,"Справа про адміністративні  правопорушення")</f>
        <v>2</v>
      </c>
      <c r="D35" s="24">
        <f>C35/COUNT(Data!$A$2:$A$500)</f>
        <v>6.6666666666666666E-2</v>
      </c>
      <c r="F35" s="1"/>
      <c r="G35" s="1"/>
      <c r="H35" s="1"/>
      <c r="I35" s="1"/>
      <c r="J35" s="1"/>
      <c r="K35" s="1"/>
    </row>
    <row r="36" spans="1:30" ht="15.6" x14ac:dyDescent="0.3">
      <c r="A36" s="28"/>
      <c r="B36" s="146" t="s">
        <v>52</v>
      </c>
      <c r="C36" s="135"/>
      <c r="D36" s="136"/>
      <c r="F36" s="1"/>
      <c r="G36" s="1"/>
      <c r="H36" s="1"/>
      <c r="I36" s="1"/>
      <c r="J36" s="1"/>
      <c r="K36" s="1"/>
    </row>
    <row r="37" spans="1:30" ht="15.6" x14ac:dyDescent="0.3">
      <c r="A37" s="43"/>
      <c r="B37" s="44" t="s">
        <v>47</v>
      </c>
      <c r="C37" s="23">
        <f>COUNTIF(Data!J$2:J$500,"Розгляд справи ще не розпочато")</f>
        <v>6</v>
      </c>
      <c r="D37" s="24">
        <f>C37/COUNT(Data!$A$2:$A$500)</f>
        <v>0.2</v>
      </c>
      <c r="F37" s="1"/>
      <c r="G37" s="1"/>
      <c r="H37" s="1"/>
      <c r="I37" s="1"/>
      <c r="J37" s="1"/>
      <c r="K37" s="1"/>
    </row>
    <row r="38" spans="1:30" ht="15.6" x14ac:dyDescent="0.3">
      <c r="A38" s="43"/>
      <c r="B38" s="44" t="s">
        <v>49</v>
      </c>
      <c r="C38" s="23">
        <f>COUNTIF(Data!J$2:J$500,"Справа перебуває в процесі розгляду")</f>
        <v>16</v>
      </c>
      <c r="D38" s="24">
        <f>C38/COUNT(Data!$A$2:$A$500)</f>
        <v>0.53333333333333333</v>
      </c>
      <c r="F38" s="1"/>
      <c r="G38" s="1"/>
      <c r="H38" s="1"/>
      <c r="I38" s="1"/>
      <c r="J38" s="1"/>
      <c r="K38" s="1"/>
    </row>
    <row r="39" spans="1:30" ht="15.6" x14ac:dyDescent="0.3">
      <c r="A39" s="43"/>
      <c r="B39" s="44" t="s">
        <v>53</v>
      </c>
      <c r="C39" s="23">
        <f>COUNTIF(Data!J$2:J$500,"Розгляд справи завершено (винесено рішення)")</f>
        <v>4</v>
      </c>
      <c r="D39" s="24">
        <f>C39/COUNT(Data!$A$2:$A$500)</f>
        <v>0.13333333333333333</v>
      </c>
      <c r="F39" s="1"/>
      <c r="G39" s="1"/>
      <c r="H39" s="1"/>
      <c r="I39" s="1"/>
      <c r="J39" s="1"/>
      <c r="K39" s="1"/>
    </row>
    <row r="40" spans="1:30" ht="15.6" x14ac:dyDescent="0.3">
      <c r="A40" s="43"/>
      <c r="B40" s="44" t="s">
        <v>21</v>
      </c>
      <c r="C40" s="23">
        <f>COUNTIF(Data!J$2:J$500,"Інше")</f>
        <v>4</v>
      </c>
      <c r="D40" s="24">
        <f>C40/COUNT(Data!$A$2:$A$500)</f>
        <v>0.13333333333333333</v>
      </c>
      <c r="F40" s="1"/>
      <c r="G40" s="1"/>
      <c r="H40" s="1"/>
      <c r="I40" s="1"/>
      <c r="J40" s="1"/>
      <c r="K40" s="25"/>
    </row>
    <row r="41" spans="1:30" ht="13.8" x14ac:dyDescent="0.25">
      <c r="A41" s="2"/>
      <c r="B41" s="2"/>
      <c r="C41" s="2"/>
      <c r="D41" s="2"/>
      <c r="E41" s="2"/>
      <c r="F41" s="1"/>
      <c r="G41" s="1"/>
      <c r="H41" s="1"/>
      <c r="I41" s="1"/>
      <c r="J41" s="1"/>
      <c r="K41" s="25"/>
      <c r="L41" s="2"/>
      <c r="M41" s="2"/>
      <c r="N41" s="2"/>
      <c r="O41" s="2"/>
      <c r="P41" s="2"/>
      <c r="Q41" s="2"/>
      <c r="R41" s="2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ht="17.399999999999999" x14ac:dyDescent="0.3">
      <c r="A42" s="46"/>
      <c r="B42" s="46"/>
      <c r="C42" s="2"/>
      <c r="D42" s="2"/>
      <c r="E42" s="2"/>
      <c r="F42" s="1"/>
      <c r="G42" s="1"/>
      <c r="H42" s="1"/>
      <c r="I42" s="1"/>
      <c r="J42" s="1"/>
      <c r="K42" s="25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7.399999999999999" x14ac:dyDescent="0.3">
      <c r="A43" s="46"/>
      <c r="B43" s="46" t="s">
        <v>56</v>
      </c>
      <c r="C43" s="2"/>
      <c r="D43" s="2"/>
      <c r="E43" s="2"/>
      <c r="F43" s="1"/>
      <c r="G43" s="1"/>
      <c r="H43" s="1"/>
      <c r="I43" s="1"/>
      <c r="J43" s="1"/>
      <c r="K43" s="25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ht="62.4" x14ac:dyDescent="0.3">
      <c r="A44" s="48" t="s">
        <v>57</v>
      </c>
      <c r="B44" s="48" t="s">
        <v>58</v>
      </c>
      <c r="C44" s="48" t="s">
        <v>1</v>
      </c>
      <c r="D44" s="48" t="s">
        <v>59</v>
      </c>
      <c r="E44" s="48">
        <v>2</v>
      </c>
      <c r="F44" s="48">
        <v>3</v>
      </c>
      <c r="G44" s="50">
        <v>4</v>
      </c>
      <c r="H44" s="50">
        <v>5</v>
      </c>
      <c r="I44" s="51" t="s">
        <v>35</v>
      </c>
      <c r="J44" s="51" t="s">
        <v>60</v>
      </c>
      <c r="K44" s="1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ht="15.6" x14ac:dyDescent="0.3">
      <c r="A45" s="52">
        <v>1</v>
      </c>
      <c r="B45" s="53" t="s">
        <v>62</v>
      </c>
      <c r="C45" s="23">
        <f>COUNTIF(Data!B$2:B$300,"18–25 років")</f>
        <v>2</v>
      </c>
      <c r="D45" s="52">
        <f>COUNTIFS(Data!$B$2:$B$500,"18–25 років",Data!$M$2:$M$500,1)</f>
        <v>0</v>
      </c>
      <c r="E45" s="52">
        <f>COUNTIFS(Data!$B$2:$B$500,"18–25 років",Data!$M$2:$M$500,2)</f>
        <v>0</v>
      </c>
      <c r="F45" s="52">
        <f>COUNTIFS(Data!$B$2:$B$500,"18–25 років",Data!$M$2:$M$500,3)</f>
        <v>0</v>
      </c>
      <c r="G45" s="52">
        <f>COUNTIFS(Data!$B$2:$B$500,"18–25 років",Data!$M$2:$M$500,4)</f>
        <v>0</v>
      </c>
      <c r="H45" s="52">
        <f>COUNTIFS(Data!$B$2:$B$500,"18–25 років",Data!$M$2:$M$500,5)</f>
        <v>2</v>
      </c>
      <c r="I45" s="52">
        <f>COUNTIFS(Data!$B$2:$B$500,"18–25 років",Data!$M$2:$M$500,9)</f>
        <v>0</v>
      </c>
      <c r="J45" s="55">
        <f t="shared" ref="J45:J71" si="0">((H45*5)+(G45*4)+(F45*3)+(E45*2)+(D45*1))/SUM(D45:H45)</f>
        <v>5</v>
      </c>
      <c r="K45" s="1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5.6" x14ac:dyDescent="0.3">
      <c r="A46" s="52">
        <v>2</v>
      </c>
      <c r="B46" s="53" t="s">
        <v>66</v>
      </c>
      <c r="C46" s="23">
        <f>COUNTIF(Data!B$2:B$300,"26–39 років")</f>
        <v>12</v>
      </c>
      <c r="D46" s="52">
        <f>COUNTIFS(Data!$B$2:$B$500,"26–39 років",Data!$M$2:$M$500,1)</f>
        <v>0</v>
      </c>
      <c r="E46" s="52">
        <f>COUNTIFS(Data!$B$2:$B$500,"26–39 років",Data!$M$2:$M$500,2)</f>
        <v>0</v>
      </c>
      <c r="F46" s="52">
        <f>COUNTIFS(Data!$B$2:$B$500,"26–39 років",Data!$M$2:$M$500,3)</f>
        <v>0</v>
      </c>
      <c r="G46" s="52">
        <f>COUNTIFS(Data!$B$2:$B$500,"26–39 років",Data!$M$2:$M$500,4)</f>
        <v>1</v>
      </c>
      <c r="H46" s="52">
        <f>COUNTIFS(Data!$B$2:$B$500,"26–39 років",Data!$M$2:$M$500,5)</f>
        <v>9</v>
      </c>
      <c r="I46" s="52">
        <f>COUNTIFS(Data!$B$2:$B$500,"26–39 років",Data!$M$2:$M$500,9)</f>
        <v>2</v>
      </c>
      <c r="J46" s="55">
        <f t="shared" si="0"/>
        <v>4.9000000000000004</v>
      </c>
      <c r="K46" s="28"/>
      <c r="L46" s="56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ht="15.6" x14ac:dyDescent="0.3">
      <c r="A47" s="52">
        <v>3</v>
      </c>
      <c r="B47" s="53" t="s">
        <v>68</v>
      </c>
      <c r="C47" s="23">
        <f>COUNTIF(Data!B$2:B$300,"40–59 років")</f>
        <v>14</v>
      </c>
      <c r="D47" s="52">
        <f>COUNTIFS(Data!$B$2:$B$500,"40–59 років",Data!$M$2:$M$500,1)</f>
        <v>0</v>
      </c>
      <c r="E47" s="52">
        <f>COUNTIFS(Data!$B$2:$B$500,"40–59 років",Data!$M$2:$M$500,2)</f>
        <v>0</v>
      </c>
      <c r="F47" s="52">
        <f>COUNTIFS(Data!$B$2:$B$500,"40–59 років",Data!$M$2:$M$500,3)</f>
        <v>2</v>
      </c>
      <c r="G47" s="52">
        <f>COUNTIFS(Data!$B$2:$B$500,"40–59 років",Data!$M$2:$M$500,4)</f>
        <v>2</v>
      </c>
      <c r="H47" s="52">
        <f>COUNTIFS(Data!$B$2:$B$500,"40–59 років",Data!$M$2:$M$500,5)</f>
        <v>8</v>
      </c>
      <c r="I47" s="52">
        <f>COUNTIFS(Data!$B$2:$B$500,"40–59 років",Data!$M$2:$M$500,9)</f>
        <v>2</v>
      </c>
      <c r="J47" s="55">
        <f t="shared" si="0"/>
        <v>4.5</v>
      </c>
      <c r="K47" s="28"/>
      <c r="L47" s="56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5.6" x14ac:dyDescent="0.3">
      <c r="A48" s="52">
        <v>4</v>
      </c>
      <c r="B48" s="53" t="s">
        <v>69</v>
      </c>
      <c r="C48" s="23">
        <f>COUNTIF(Data!B$2:B$300,"60 років і старше")</f>
        <v>2</v>
      </c>
      <c r="D48" s="52">
        <f>COUNTIFS(Data!$B$2:$B$500,"60 років і старше",Data!$M$2:$M$500,1)</f>
        <v>0</v>
      </c>
      <c r="E48" s="52">
        <f>COUNTIFS(Data!$B$2:$B$500,"60 років і старше",Data!$M$2:$M$500,2)</f>
        <v>0</v>
      </c>
      <c r="F48" s="52">
        <f>COUNTIFS(Data!$B$2:$B$500,"60 років і старше",Data!$M$2:$M$500,3)</f>
        <v>0</v>
      </c>
      <c r="G48" s="52">
        <f>COUNTIFS(Data!$B$2:$B$500,"60 років і старше",Data!$M$2:$M$500,4)</f>
        <v>1</v>
      </c>
      <c r="H48" s="52">
        <f>COUNTIFS(Data!$B$2:$B$500,"60 років і старше",Data!$M$2:$M$500,5)</f>
        <v>1</v>
      </c>
      <c r="I48" s="52">
        <f>COUNTIFS(Data!$B$2:$B$500,"60 років і старше",Data!$M$2:$M$500,9)</f>
        <v>0</v>
      </c>
      <c r="J48" s="55">
        <f t="shared" si="0"/>
        <v>4.5</v>
      </c>
      <c r="K48" s="28"/>
      <c r="L48" s="56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ht="15.6" x14ac:dyDescent="0.3">
      <c r="A49" s="52">
        <v>5</v>
      </c>
      <c r="B49" s="53" t="s">
        <v>70</v>
      </c>
      <c r="C49" s="23">
        <f>COUNTIF(Data!C$2:C$300,"Чоловіча")</f>
        <v>21</v>
      </c>
      <c r="D49" s="52">
        <f>COUNTIFS(Data!$C$2:$C$500,"Чоловіча",Data!$M$2:$M$500,1)</f>
        <v>0</v>
      </c>
      <c r="E49" s="52">
        <f>COUNTIFS(Data!$C$2:$C$500,"Чоловіча",Data!$M$2:$M$500,2)</f>
        <v>0</v>
      </c>
      <c r="F49" s="52">
        <f>COUNTIFS(Data!$C$2:$C$500,"Чоловіча",Data!$M$2:$M$500,3)</f>
        <v>1</v>
      </c>
      <c r="G49" s="52">
        <f>COUNTIFS(Data!$C$2:$C$500,"Чоловіча",Data!$M$2:$M$500,4)</f>
        <v>4</v>
      </c>
      <c r="H49" s="52">
        <f>COUNTIFS(Data!$C$2:$C$500,"Чоловіча",Data!$M$2:$M$500,5)</f>
        <v>14</v>
      </c>
      <c r="I49" s="52">
        <f>COUNTIFS(Data!$C$2:$C$500,"Чоловіча",Data!$M$2:$M$500,9)</f>
        <v>2</v>
      </c>
      <c r="J49" s="55">
        <f t="shared" si="0"/>
        <v>4.6842105263157894</v>
      </c>
      <c r="K49" s="28"/>
      <c r="L49" s="56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ht="15.6" x14ac:dyDescent="0.3">
      <c r="A50" s="52">
        <v>6</v>
      </c>
      <c r="B50" s="53" t="s">
        <v>72</v>
      </c>
      <c r="C50" s="23">
        <f>COUNTIF(Data!C$2:C$300,"Жіноча")</f>
        <v>9</v>
      </c>
      <c r="D50" s="52">
        <f>COUNTIFS(Data!$C$2:$C$500,"Жіноча",Data!$M$2:$M$500,1)</f>
        <v>0</v>
      </c>
      <c r="E50" s="52">
        <f>COUNTIFS(Data!$C$2:$C$500,"Жіноча",Data!$M$2:$M$500,2)</f>
        <v>0</v>
      </c>
      <c r="F50" s="52">
        <f>COUNTIFS(Data!$C$2:$C$500,"Жіноча",Data!$M$2:$M$500,3)</f>
        <v>1</v>
      </c>
      <c r="G50" s="52">
        <f>COUNTIFS(Data!$C$2:$C$500,"Жіноча",Data!$M$2:$M$500,4)</f>
        <v>0</v>
      </c>
      <c r="H50" s="52">
        <f>COUNTIFS(Data!$C$2:$C$500,"Жіноча",Data!$M$2:$M$500,5)</f>
        <v>6</v>
      </c>
      <c r="I50" s="52">
        <f>COUNTIFS(Data!$C$2:$C$500,"Жіноча",Data!$M$2:$M$500,9)</f>
        <v>2</v>
      </c>
      <c r="J50" s="55">
        <f t="shared" si="0"/>
        <v>4.7142857142857144</v>
      </c>
      <c r="K50" s="28"/>
      <c r="L50" s="56"/>
      <c r="M50" s="2"/>
      <c r="N50" s="2"/>
      <c r="O50" s="2"/>
      <c r="P50" s="2"/>
      <c r="Q50" s="2"/>
      <c r="R50" s="2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ht="30.6" x14ac:dyDescent="0.3">
      <c r="A51" s="52">
        <v>7</v>
      </c>
      <c r="B51" s="53" t="s">
        <v>74</v>
      </c>
      <c r="C51" s="23">
        <f>COUNTIF(Data!D$2:D$300,"Середня та неповна середня")</f>
        <v>9</v>
      </c>
      <c r="D51" s="52">
        <f>COUNTIFS(Data!$D$2:$D$500,"Середня та неповна середня",Data!$M$2:$M$500,1)</f>
        <v>0</v>
      </c>
      <c r="E51" s="52">
        <f>COUNTIFS(Data!$D$2:$D$500,"Середня та неповна середня",Data!$M$2:$M$500,2)</f>
        <v>0</v>
      </c>
      <c r="F51" s="52">
        <f>COUNTIFS(Data!$D$2:$D$500,"Середня та неповна середня",Data!$M$2:$M$500,3)</f>
        <v>1</v>
      </c>
      <c r="G51" s="52">
        <f>COUNTIFS(Data!$D$2:$D$500,"Середня та неповна середня",Data!$M$2:$M$500,4)</f>
        <v>1</v>
      </c>
      <c r="H51" s="52">
        <f>COUNTIFS(Data!$D$2:$D$500,"Середня та неповна середня",Data!$M$2:$M$500,5)</f>
        <v>6</v>
      </c>
      <c r="I51" s="52">
        <f>COUNTIFS(Data!$D$2:$D$500,"Середня та неповна середня",Data!$M$2:$M$500,9)</f>
        <v>1</v>
      </c>
      <c r="J51" s="55">
        <f t="shared" si="0"/>
        <v>4.625</v>
      </c>
      <c r="K51" s="28"/>
      <c r="L51" s="56"/>
      <c r="M51" s="2"/>
      <c r="N51" s="2"/>
      <c r="O51" s="2"/>
      <c r="P51" s="2"/>
      <c r="Q51" s="2"/>
      <c r="R51" s="2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ht="30.6" x14ac:dyDescent="0.3">
      <c r="A52" s="52">
        <v>8</v>
      </c>
      <c r="B52" s="53" t="s">
        <v>76</v>
      </c>
      <c r="C52" s="23">
        <f>COUNTIF(Data!D$2:D$300,"Вища та неповна вища")</f>
        <v>20</v>
      </c>
      <c r="D52" s="52">
        <f>COUNTIFS(Data!$D$2:$D$500,"Вища та неповна вища",Data!$M$2:$M$500,1)</f>
        <v>0</v>
      </c>
      <c r="E52" s="52">
        <f>COUNTIFS(Data!$D$2:$D$500,"Вища та неповна вища",Data!$M$2:$M$500,2)</f>
        <v>0</v>
      </c>
      <c r="F52" s="52">
        <f>COUNTIFS(Data!$D$2:$D$500,"Вища та неповна вища",Data!$M$2:$M$500,3)</f>
        <v>1</v>
      </c>
      <c r="G52" s="52">
        <f>COUNTIFS(Data!$D$2:$D$500,"Вища та неповна вища",Data!$M$2:$M$500,4)</f>
        <v>3</v>
      </c>
      <c r="H52" s="52">
        <f>COUNTIFS(Data!$D$2:$D$500,"Вища та неповна вища",Data!$M$2:$M$500,5)</f>
        <v>13</v>
      </c>
      <c r="I52" s="52">
        <f>COUNTIFS(Data!$D$2:$D$500,"Вища та неповна вища",Data!$M$2:$M$500,9)</f>
        <v>3</v>
      </c>
      <c r="J52" s="55">
        <f t="shared" si="0"/>
        <v>4.7058823529411766</v>
      </c>
      <c r="K52" s="28"/>
      <c r="L52" s="56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5.6" x14ac:dyDescent="0.3">
      <c r="A53" s="52">
        <v>9</v>
      </c>
      <c r="B53" s="53" t="s">
        <v>78</v>
      </c>
      <c r="C53" s="23">
        <f>COUNTIF(Data!D$2:D$300,"Інше (вкажіть)")</f>
        <v>1</v>
      </c>
      <c r="D53" s="52">
        <f>COUNTIFS(Data!$D$2:$D$500,"Інше (вкажіть)",Data!$M$2:$M$500,1)</f>
        <v>0</v>
      </c>
      <c r="E53" s="52">
        <f>COUNTIFS(Data!$D$2:$D$500,"Інше (вкажіть)",Data!$M$2:$M$500,2)</f>
        <v>0</v>
      </c>
      <c r="F53" s="52">
        <f>COUNTIFS(Data!$D$2:$D$500,"Інше (вкажіть)",Data!$M$2:$M$500,3)</f>
        <v>0</v>
      </c>
      <c r="G53" s="52">
        <f>COUNTIFS(Data!$D$2:$D$500,"Інше (вкажіть)",Data!$M$2:$M$500,4)</f>
        <v>0</v>
      </c>
      <c r="H53" s="52">
        <f>COUNTIFS(Data!$D$2:$D$500,"Інше (вкажіть)",Data!$M$2:$M$500,5)</f>
        <v>1</v>
      </c>
      <c r="I53" s="52">
        <f>COUNTIFS(Data!$D$2:$D$500,"Інше (вкажіть)",Data!$M$2:$M$500,9)</f>
        <v>0</v>
      </c>
      <c r="J53" s="55">
        <f t="shared" si="0"/>
        <v>5</v>
      </c>
      <c r="K53" s="28"/>
      <c r="L53" s="56"/>
      <c r="M53" s="2"/>
      <c r="N53" s="2"/>
      <c r="O53" s="2"/>
      <c r="P53" s="2"/>
      <c r="Q53" s="2"/>
      <c r="R53" s="2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ht="15.6" x14ac:dyDescent="0.3">
      <c r="A54" s="52">
        <v>10</v>
      </c>
      <c r="B54" s="53" t="s">
        <v>80</v>
      </c>
      <c r="C54" s="23">
        <f>COUNTIF(Data!F$2:F$300,"В населеному пункті, де розташований цей суд")</f>
        <v>11</v>
      </c>
      <c r="D54" s="52">
        <f>COUNTIFS(Data!$F$2:$F$500,"В населеному пункті, де розташований цей суд",Data!$M$2:$M$500,1)</f>
        <v>0</v>
      </c>
      <c r="E54" s="52">
        <f>COUNTIFS(Data!$F$2:$F$500,"В населеному пункті, де розташований цей суд",Data!$M$2:$M$500,2)</f>
        <v>0</v>
      </c>
      <c r="F54" s="52">
        <f>COUNTIFS(Data!$F$2:$F$500,"В населеному пункті, де розташований цей суд",Data!$M$2:$M$500,3)</f>
        <v>0</v>
      </c>
      <c r="G54" s="52">
        <f>COUNTIFS(Data!$F$2:$F$500,"В населеному пункті, де розташований цей суд",Data!$M$2:$M$500,4)</f>
        <v>3</v>
      </c>
      <c r="H54" s="52">
        <f>COUNTIFS(Data!$F$2:$F$500,"В населеному пункті, де розташований цей суд",Data!$M$2:$M$500,5)</f>
        <v>6</v>
      </c>
      <c r="I54" s="52">
        <f>COUNTIFS(Data!$F$2:$F$500,"В населеному пункті, де розташований цей суд",Data!$M$2:$M$500,9)</f>
        <v>2</v>
      </c>
      <c r="J54" s="55">
        <f t="shared" si="0"/>
        <v>4.666666666666667</v>
      </c>
      <c r="K54" s="28"/>
      <c r="L54" s="56"/>
      <c r="M54" s="2"/>
      <c r="N54" s="2"/>
      <c r="O54" s="2"/>
      <c r="P54" s="2"/>
      <c r="Q54" s="2"/>
      <c r="R54" s="2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ht="30.6" x14ac:dyDescent="0.3">
      <c r="A55" s="52">
        <v>11</v>
      </c>
      <c r="B55" s="53" t="s">
        <v>82</v>
      </c>
      <c r="C55" s="23">
        <f>COUNTIF(Data!F$2:F$300,"В іншому населеному пункті")</f>
        <v>19</v>
      </c>
      <c r="D55" s="52">
        <f>COUNTIFS(Data!$F$2:$F$500,"В іншому населеному пункті",Data!$M$2:$M$500,1)</f>
        <v>0</v>
      </c>
      <c r="E55" s="52">
        <f>COUNTIFS(Data!$F$2:$F$500,"В іншому населеному пункті",Data!$M$2:$M$500,2)</f>
        <v>0</v>
      </c>
      <c r="F55" s="52">
        <f>COUNTIFS(Data!$F$2:$F$500,"В іншому населеному пункті",Data!$M$2:$M$500,3)</f>
        <v>2</v>
      </c>
      <c r="G55" s="52">
        <f>COUNTIFS(Data!$F$2:$F$500,"В іншому населеному пункті",Data!$M$2:$M$500,4)</f>
        <v>1</v>
      </c>
      <c r="H55" s="52">
        <f>COUNTIFS(Data!$F$2:$F$500,"В іншому населеному пункті",Data!$M$2:$M$500,5)</f>
        <v>14</v>
      </c>
      <c r="I55" s="52">
        <f>COUNTIFS(Data!$F$2:$F$500,"В іншому населеному пункті",Data!$M$2:$M$500,9)</f>
        <v>2</v>
      </c>
      <c r="J55" s="55">
        <f t="shared" si="0"/>
        <v>4.7058823529411766</v>
      </c>
      <c r="K55" s="28"/>
      <c r="L55" s="56"/>
      <c r="M55" s="2"/>
      <c r="N55" s="2"/>
      <c r="O55" s="2"/>
      <c r="P55" s="2"/>
      <c r="Q55" s="2"/>
      <c r="R55" s="2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ht="30.6" x14ac:dyDescent="0.3">
      <c r="A56" s="52">
        <v>12</v>
      </c>
      <c r="B56" s="53" t="s">
        <v>83</v>
      </c>
      <c r="C56" s="23">
        <f>COUNTIF(Data!G$2:G$300,"Змушені економити на харчуванні")</f>
        <v>5</v>
      </c>
      <c r="D56" s="52">
        <f>COUNTIFS(Data!$G$2:$G$500,"Змушені економити на харчуванні",Data!$M$2:$M$500,1)</f>
        <v>0</v>
      </c>
      <c r="E56" s="52">
        <f>COUNTIFS(Data!$G$2:$G$500,"Змушені економити на харчуванні",Data!$M$2:$M$500,2)</f>
        <v>0</v>
      </c>
      <c r="F56" s="52">
        <f>COUNTIFS(Data!$G$2:$G$500,"Змушені економити на харчуванні",Data!$M$2:$M$500,3)</f>
        <v>1</v>
      </c>
      <c r="G56" s="52">
        <f>COUNTIFS(Data!$G$2:$G$500,"Змушені економити на харчуванні",Data!$M$2:$M$500,4)</f>
        <v>1</v>
      </c>
      <c r="H56" s="52">
        <f>COUNTIFS(Data!$G$2:$G$500,"Змушені економити на харчуванні",Data!$M$2:$M$500,5)</f>
        <v>2</v>
      </c>
      <c r="I56" s="52">
        <f>COUNTIFS(Data!$G$2:$G$500,"Змушені економити на харчуванні",Data!$M$2:$M$500,9)</f>
        <v>1</v>
      </c>
      <c r="J56" s="55">
        <f t="shared" si="0"/>
        <v>4.25</v>
      </c>
      <c r="K56" s="28"/>
      <c r="L56" s="56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60.6" x14ac:dyDescent="0.3">
      <c r="A57" s="52">
        <v>13</v>
      </c>
      <c r="B57" s="53" t="s">
        <v>85</v>
      </c>
      <c r="C57" s="23">
        <f>COUNTIF(Data!G$2:G$300,"Вистачає на харчування та необхідний одяг, взуття. Для таких покупок як гарний  костюм, мобільний телефон, пилосос необхідно заощадити або позичити")</f>
        <v>3</v>
      </c>
      <c r="D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позичити",Data!$M$2:$M$500,1)</f>
        <v>0</v>
      </c>
      <c r="E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позичити",Data!$M$2:$M$500,2)</f>
        <v>0</v>
      </c>
      <c r="F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позичити",Data!$M$2:$M$500,3)</f>
        <v>0</v>
      </c>
      <c r="G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позичити",Data!$M$2:$M$500,4)</f>
        <v>0</v>
      </c>
      <c r="H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позичити",Data!$M$2:$M$500,5)</f>
        <v>3</v>
      </c>
      <c r="I57" s="52">
        <f>COUNTIFS(Data!$G$2:$G$500,"Вистачає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позичити",Data!$M$2:$M$500,9)</f>
        <v>0</v>
      </c>
      <c r="J57" s="55">
        <f t="shared" si="0"/>
        <v>5</v>
      </c>
      <c r="K57" s="28"/>
      <c r="L57" s="56"/>
      <c r="M57" s="2"/>
      <c r="N57" s="2"/>
      <c r="O57" s="2"/>
      <c r="P57" s="2"/>
      <c r="Q57" s="2"/>
      <c r="R57" s="2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75.599999999999994" x14ac:dyDescent="0.3">
      <c r="A58" s="52">
        <v>14</v>
      </c>
      <c r="B58" s="53" t="s">
        <v>87</v>
      </c>
      <c r="C58" s="23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7</v>
      </c>
      <c r="D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позичити",Data!$M$2:$M$500,1)</f>
        <v>0</v>
      </c>
      <c r="E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позичити",Data!$M$2:$M$500,2)</f>
        <v>0</v>
      </c>
      <c r="F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позичити",Data!$M$2:$M$500,3)</f>
        <v>0</v>
      </c>
      <c r="G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позичити",Data!$M$2:$M$500,4)</f>
        <v>1</v>
      </c>
      <c r="H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позичити",Data!$M$2:$M$500,5)</f>
        <v>4</v>
      </c>
      <c r="I58" s="52">
        <f>COUNTIFS(Data!$G$2:$G$500,"Вистачає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позичити",Data!$M$2:$M$500,9)</f>
        <v>2</v>
      </c>
      <c r="J58" s="55">
        <f t="shared" si="0"/>
        <v>4.8</v>
      </c>
      <c r="K58" s="28"/>
      <c r="L58" s="56"/>
      <c r="M58" s="2"/>
      <c r="N58" s="2"/>
      <c r="O58" s="2"/>
      <c r="P58" s="2"/>
      <c r="Q58" s="2"/>
      <c r="R58" s="2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60.6" x14ac:dyDescent="0.3">
      <c r="A59" s="52">
        <v>15</v>
      </c>
      <c r="B59" s="53" t="s">
        <v>89</v>
      </c>
      <c r="C59" s="23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12</v>
      </c>
      <c r="D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позичити",Data!$M$2:$M$500,1)</f>
        <v>0</v>
      </c>
      <c r="E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позичити",Data!$M$2:$M$500,2)</f>
        <v>0</v>
      </c>
      <c r="F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позичити",Data!$M$2:$M$500,3)</f>
        <v>1</v>
      </c>
      <c r="G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позичити",Data!$M$2:$M$500,4)</f>
        <v>2</v>
      </c>
      <c r="H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позичити",Data!$M$2:$M$500,5)</f>
        <v>8</v>
      </c>
      <c r="I59" s="52">
        <f>COUNTIFS(Data!$G$2:$G$500,"Вистачає на харчування, одяг, взуття, дорогі покупки. Для таких покупок як машина, квартира необхідно заощадити або позичити",Data!$M$2:$M$500,9)</f>
        <v>1</v>
      </c>
      <c r="J59" s="55">
        <f t="shared" si="0"/>
        <v>4.6363636363636367</v>
      </c>
      <c r="K59" s="28"/>
      <c r="L59" s="56"/>
      <c r="M59" s="2"/>
      <c r="N59" s="2"/>
      <c r="O59" s="2"/>
      <c r="P59" s="2"/>
      <c r="Q59" s="2"/>
      <c r="R59" s="2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ht="30.6" x14ac:dyDescent="0.3">
      <c r="A60" s="52">
        <v>16</v>
      </c>
      <c r="B60" s="53" t="s">
        <v>91</v>
      </c>
      <c r="C60" s="23">
        <f>COUNTIF(Data!G$2:G$300,"Будь-які необхідні покупки можу зробити в будь-який час")</f>
        <v>0</v>
      </c>
      <c r="D60" s="52">
        <f>COUNTIFS(Data!$G$2:$G$500,"Будь-які необхідні покупки можу зробити в будь-який час",Data!$M$2:$M$500,1)</f>
        <v>0</v>
      </c>
      <c r="E60" s="52">
        <f>COUNTIFS(Data!$G$2:$G$500,"Будь-які необхідні покупки можу зробити в будь-який час",Data!$M$2:$M$500,2)</f>
        <v>0</v>
      </c>
      <c r="F60" s="52">
        <f>COUNTIFS(Data!$G$2:$G$500,"Будь-які необхідні покупки можу зробити в будь-який час",Data!$M$2:$M$500,3)</f>
        <v>0</v>
      </c>
      <c r="G60" s="52">
        <f>COUNTIFS(Data!$G$2:$G$500,"Будь-які необхідні покупки можу зробити в будь-який час",Data!$M$2:$M$500,4)</f>
        <v>0</v>
      </c>
      <c r="H60" s="52">
        <f>COUNTIFS(Data!$G$2:$G$500,"Будь-які необхідні покупки можу зробити в будь-який час",Data!$M$2:$M$500,5)</f>
        <v>0</v>
      </c>
      <c r="I60" s="52">
        <f>COUNTIFS(Data!$G$2:$G$500,"Будь-які необхідні покупки можу зробити в будь-який час",Data!$M$2:$M$500,9)</f>
        <v>0</v>
      </c>
      <c r="J60" s="55" t="e">
        <f t="shared" si="0"/>
        <v>#DIV/0!</v>
      </c>
      <c r="K60" s="28"/>
      <c r="L60" s="56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ht="30.6" x14ac:dyDescent="0.3">
      <c r="A61" s="52">
        <v>17</v>
      </c>
      <c r="B61" s="53" t="s">
        <v>93</v>
      </c>
      <c r="C61" s="23">
        <f>COUNTIF(Data!G$2:G$300,"КН (код невідповіді)")</f>
        <v>3</v>
      </c>
      <c r="D61" s="52">
        <f>COUNTIFS(Data!$G$2:$G$500,"КН (код невідповіді)",Data!$M$2:$M$500,1)</f>
        <v>0</v>
      </c>
      <c r="E61" s="52">
        <f>COUNTIFS(Data!$G$2:$G$500,"КН (код невідповіді)",Data!$M$2:$M$500,2)</f>
        <v>0</v>
      </c>
      <c r="F61" s="52">
        <f>COUNTIFS(Data!$G$2:$G$500,"КН (код невідповіді)",Data!$M$2:$M$500,3)</f>
        <v>0</v>
      </c>
      <c r="G61" s="52">
        <f>COUNTIFS(Data!$G$2:$G$500,"КН (код невідповіді)",Data!$M$2:$M$500,4)</f>
        <v>0</v>
      </c>
      <c r="H61" s="52">
        <f>COUNTIFS(Data!$G$2:$G$500,"КН (код невідповіді)",Data!$M$2:$M$500,5)</f>
        <v>3</v>
      </c>
      <c r="I61" s="52">
        <f>COUNTIFS(Data!$G$2:$G$500,"КН (код невідповіді)",Data!$M$2:$M$500,9)</f>
        <v>0</v>
      </c>
      <c r="J61" s="55">
        <f t="shared" si="0"/>
        <v>5</v>
      </c>
      <c r="K61" s="28"/>
      <c r="L61" s="56"/>
      <c r="M61" s="2"/>
      <c r="N61" s="2"/>
      <c r="O61" s="2"/>
      <c r="P61" s="2"/>
      <c r="Q61" s="2"/>
      <c r="R61" s="2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ht="30.6" x14ac:dyDescent="0.3">
      <c r="A62" s="52">
        <v>18</v>
      </c>
      <c r="B62" s="53" t="s">
        <v>94</v>
      </c>
      <c r="C62" s="23">
        <f>COUNTIF(Data!H$2:H$300,"Є учасником судових проваджень і представляєте особисто себе")</f>
        <v>16</v>
      </c>
      <c r="D62" s="52">
        <f>COUNTIFS(Data!$H$2:$H$500,"Є учасником судових проваджень і представляєте особисто себе",Data!$M$2:$M$500,1)</f>
        <v>0</v>
      </c>
      <c r="E62" s="52">
        <f>COUNTIFS(Data!$H$2:$H$500,"Є учасником судових проваджень і представляєте особисто себе",Data!$M$2:$M$500,2)</f>
        <v>0</v>
      </c>
      <c r="F62" s="52">
        <f>COUNTIFS(Data!$H$2:$H$500,"Є учасником судових проваджень і представляєте особисто себе",Data!$M$2:$M$500,3)</f>
        <v>0</v>
      </c>
      <c r="G62" s="52">
        <f>COUNTIFS(Data!$H$2:$H$500,"Є учасником судових проваджень і представляєте особисто себе",Data!$M$2:$M$500,4)</f>
        <v>3</v>
      </c>
      <c r="H62" s="52">
        <f>COUNTIFS(Data!$H$2:$H$500,"Є учасником судових проваджень і представляєте особисто себе",Data!$M$2:$M$500,5)</f>
        <v>10</v>
      </c>
      <c r="I62" s="52">
        <f>COUNTIFS(Data!$H$2:$H$500,"Є учасником судових проваджень і представляєте особисто себе",Data!$M$2:$M$500,9)</f>
        <v>3</v>
      </c>
      <c r="J62" s="55">
        <f t="shared" si="0"/>
        <v>4.7692307692307692</v>
      </c>
      <c r="K62" s="28"/>
      <c r="L62" s="56"/>
      <c r="M62" s="2"/>
      <c r="N62" s="2"/>
      <c r="O62" s="2"/>
      <c r="P62" s="2"/>
      <c r="Q62" s="2"/>
      <c r="R62" s="2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ht="75.599999999999994" x14ac:dyDescent="0.3">
      <c r="A63" s="52">
        <v>19</v>
      </c>
      <c r="B63" s="53" t="s">
        <v>96</v>
      </c>
      <c r="C63" s="23">
        <f>COUNTIF(Data!H$2:H$300,"Є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9</v>
      </c>
      <c r="D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юрист-консультантом)",Data!$M$2:$M$500,1)</f>
        <v>0</v>
      </c>
      <c r="E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юрист-консультантом)",Data!$M$2:$M$500,2)</f>
        <v>0</v>
      </c>
      <c r="F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юрист-консультантом)",Data!$M$2:$M$500,3)</f>
        <v>1</v>
      </c>
      <c r="G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юрист-консультантом)",Data!$M$2:$M$500,4)</f>
        <v>1</v>
      </c>
      <c r="H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юрист-консультантом)",Data!$M$2:$M$500,5)</f>
        <v>7</v>
      </c>
      <c r="I63" s="52">
        <f>COUNTIFS(Data!$H$2:$H$500,"Є учасником судових проваджень, але представляєте іншу фізичну чи юридичну особу (є адвокатом, представником прокуратури, юрист-консультантом)",Data!$M$2:$M$500,9)</f>
        <v>0</v>
      </c>
      <c r="J63" s="55">
        <f t="shared" si="0"/>
        <v>4.666666666666667</v>
      </c>
      <c r="K63" s="28"/>
      <c r="L63" s="56"/>
      <c r="M63" s="2"/>
      <c r="N63" s="2"/>
      <c r="O63" s="2"/>
      <c r="P63" s="2"/>
      <c r="Q63" s="2"/>
      <c r="R63" s="2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ht="30.6" x14ac:dyDescent="0.3">
      <c r="A64" s="52">
        <v>20</v>
      </c>
      <c r="B64" s="53" t="s">
        <v>98</v>
      </c>
      <c r="C64" s="23">
        <f>COUNTIF(Data!H$2:H$300,"Не є учасником судових проваджень")</f>
        <v>3</v>
      </c>
      <c r="D64" s="52">
        <f>COUNTIFS(Data!$H$2:$H$500,"Не є учасником судових проваджень",Data!$M$2:$M$500,1)</f>
        <v>0</v>
      </c>
      <c r="E64" s="52">
        <f>COUNTIFS(Data!$H$2:$H$500,"Не є учасником судових проваджень",Data!$M$2:$M$500,2)</f>
        <v>0</v>
      </c>
      <c r="F64" s="52">
        <f>COUNTIFS(Data!$H$2:$H$500,"Не є учасником судових проваджень",Data!$M$2:$M$500,3)</f>
        <v>1</v>
      </c>
      <c r="G64" s="52">
        <f>COUNTIFS(Data!$H$2:$H$500,"Не є учасником судових проваджень",Data!$M$2:$M$500,4)</f>
        <v>0</v>
      </c>
      <c r="H64" s="52">
        <f>COUNTIFS(Data!$H$2:$H$500,"Не є учасником судових проваджень",Data!$M$2:$M$500,5)</f>
        <v>1</v>
      </c>
      <c r="I64" s="52">
        <f>COUNTIFS(Data!$H$2:$H$500,"Не є учасником судових проваджень",Data!$M$2:$M$500,9)</f>
        <v>1</v>
      </c>
      <c r="J64" s="55">
        <f t="shared" si="0"/>
        <v>4</v>
      </c>
      <c r="K64" s="28"/>
      <c r="L64" s="56"/>
      <c r="M64" s="2"/>
      <c r="N64" s="2"/>
      <c r="O64" s="2"/>
      <c r="P64" s="2"/>
      <c r="Q64" s="2"/>
      <c r="R64" s="2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ht="15.6" x14ac:dyDescent="0.3">
      <c r="A65" s="52">
        <v>21</v>
      </c>
      <c r="B65" s="53" t="s">
        <v>100</v>
      </c>
      <c r="C65" s="23">
        <f>COUNTIF(Data!H$2:H$300,"Інше")</f>
        <v>2</v>
      </c>
      <c r="D65" s="52">
        <f>COUNTIFS(Data!$H$2:$H$500,"Інше",Data!$M$2:$M$500,1)</f>
        <v>0</v>
      </c>
      <c r="E65" s="52">
        <f>COUNTIFS(Data!$H$2:$H$500,"Інше",Data!$M$2:$M$500,2)</f>
        <v>0</v>
      </c>
      <c r="F65" s="52">
        <f>COUNTIFS(Data!$H$2:$H$500,"Інше",Data!$M$2:$M$500,3)</f>
        <v>0</v>
      </c>
      <c r="G65" s="52">
        <f>COUNTIFS(Data!$H$2:$H$500,"Інше",Data!$M$2:$M$500,4)</f>
        <v>0</v>
      </c>
      <c r="H65" s="52">
        <f>COUNTIFS(Data!$H$2:$H$500,"Інше",Data!$M$2:$M$500,5)</f>
        <v>2</v>
      </c>
      <c r="I65" s="52">
        <f>COUNTIFS(Data!$H$2:$H$500,"Інше",Data!$M$2:$M$500,9)</f>
        <v>0</v>
      </c>
      <c r="J65" s="55">
        <f t="shared" si="0"/>
        <v>5</v>
      </c>
      <c r="K65" s="28"/>
      <c r="L65" s="56"/>
      <c r="M65" s="2"/>
      <c r="N65" s="2"/>
      <c r="O65" s="2"/>
      <c r="P65" s="2"/>
      <c r="Q65" s="2"/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ht="30.6" x14ac:dyDescent="0.3">
      <c r="A66" s="52">
        <v>22</v>
      </c>
      <c r="B66" s="53" t="s">
        <v>102</v>
      </c>
      <c r="C66" s="23">
        <f>COUNTIF(Data!I$2:I$300,"Цивільний процес")</f>
        <v>18</v>
      </c>
      <c r="D66" s="52">
        <f>COUNTIFS(Data!$I$2:$I$500,"Цивільний процес",Data!$M$2:$M$500,1)</f>
        <v>0</v>
      </c>
      <c r="E66" s="52">
        <f>COUNTIFS(Data!$I$2:$I$500,"Цивільний процес",Data!$M$2:$M$500,2)</f>
        <v>0</v>
      </c>
      <c r="F66" s="52">
        <f>COUNTIFS(Data!$I$2:$I$500,"Цивільний процес",Data!$M$2:$M$500,3)</f>
        <v>1</v>
      </c>
      <c r="G66" s="52">
        <f>COUNTIFS(Data!$I$2:$I$500,"Цивільний процес",Data!$M$2:$M$500,4)</f>
        <v>3</v>
      </c>
      <c r="H66" s="52">
        <f>COUNTIFS(Data!$I$2:$I$500,"Цивільний процес",Data!$M$2:$M$500,5)</f>
        <v>12</v>
      </c>
      <c r="I66" s="52">
        <f>COUNTIFS(Data!$I$2:$I$500,"Цивільний процес",Data!$M$2:$M$500,9)</f>
        <v>2</v>
      </c>
      <c r="J66" s="55">
        <f t="shared" si="0"/>
        <v>4.6875</v>
      </c>
      <c r="K66" s="28"/>
      <c r="L66" s="56"/>
      <c r="M66" s="2"/>
      <c r="N66" s="2"/>
      <c r="O66" s="2"/>
      <c r="P66" s="2"/>
      <c r="Q66" s="2"/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ht="30.6" x14ac:dyDescent="0.3">
      <c r="A67" s="52">
        <v>23</v>
      </c>
      <c r="B67" s="53" t="s">
        <v>104</v>
      </c>
      <c r="C67" s="23">
        <f>COUNTIF(Data!I$2:I$300,"Кримінальний процес")</f>
        <v>4</v>
      </c>
      <c r="D67" s="52">
        <f>COUNTIFS(Data!$I$2:$I$500,"Кримінальний процес",Data!$M$2:$M$500,1)</f>
        <v>0</v>
      </c>
      <c r="E67" s="52">
        <f>COUNTIFS(Data!$I$2:$I$500,"Кримінальний процес",Data!$M$2:$M$500,2)</f>
        <v>0</v>
      </c>
      <c r="F67" s="52">
        <f>COUNTIFS(Data!$I$2:$I$500,"Кримінальний процес",Data!$M$2:$M$500,3)</f>
        <v>0</v>
      </c>
      <c r="G67" s="52">
        <f>COUNTIFS(Data!$I$2:$I$500,"Кримінальний процес",Data!$M$2:$M$500,4)</f>
        <v>0</v>
      </c>
      <c r="H67" s="52">
        <f>COUNTIFS(Data!$I$2:$I$500,"Кримінальний процес",Data!$M$2:$M$500,5)</f>
        <v>4</v>
      </c>
      <c r="I67" s="52">
        <f>COUNTIFS(Data!$I$2:$I$500,"Кримінальний процес",Data!$M$2:$M$500,9)</f>
        <v>0</v>
      </c>
      <c r="J67" s="55">
        <f t="shared" si="0"/>
        <v>5</v>
      </c>
      <c r="K67" s="28"/>
      <c r="L67" s="56"/>
      <c r="M67" s="2"/>
      <c r="N67" s="2"/>
      <c r="O67" s="2"/>
      <c r="P67" s="2"/>
      <c r="Q67" s="2"/>
      <c r="R67" s="2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ht="30.6" x14ac:dyDescent="0.3">
      <c r="A68" s="52">
        <v>24</v>
      </c>
      <c r="B68" s="53" t="s">
        <v>105</v>
      </c>
      <c r="C68" s="23">
        <f>COUNTIF(Data!I$2:I$300,"Адміністративний процес")</f>
        <v>2</v>
      </c>
      <c r="D68" s="52">
        <f>COUNTIFS(Data!$I$2:$I$500,"Адміністративний процес",Data!$M$2:$M$500,1)</f>
        <v>0</v>
      </c>
      <c r="E68" s="52">
        <f>COUNTIFS(Data!$I$2:$I$500,"Адміністративний процес",Data!$M$2:$M$500,2)</f>
        <v>0</v>
      </c>
      <c r="F68" s="52">
        <f>COUNTIFS(Data!$I$2:$I$500,"Адміністративний процес",Data!$M$2:$M$500,3)</f>
        <v>0</v>
      </c>
      <c r="G68" s="52">
        <f>COUNTIFS(Data!$I$2:$I$500,"Адміністративний процес",Data!$M$2:$M$500,4)</f>
        <v>1</v>
      </c>
      <c r="H68" s="52">
        <f>COUNTIFS(Data!$I$2:$I$500,"Адміністративний процес",Data!$M$2:$M$500,5)</f>
        <v>1</v>
      </c>
      <c r="I68" s="52">
        <f>COUNTIFS(Data!$I$2:$I$500,"Адміністративний процес",Data!$M$2:$M$500,9)</f>
        <v>0</v>
      </c>
      <c r="J68" s="55">
        <f t="shared" si="0"/>
        <v>4.5</v>
      </c>
      <c r="K68" s="28"/>
      <c r="L68" s="56"/>
      <c r="M68" s="2"/>
      <c r="N68" s="2"/>
      <c r="O68" s="2"/>
      <c r="P68" s="2"/>
      <c r="Q68" s="2"/>
      <c r="R68" s="2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ht="30.6" x14ac:dyDescent="0.3">
      <c r="A69" s="52">
        <v>25</v>
      </c>
      <c r="B69" s="53" t="s">
        <v>107</v>
      </c>
      <c r="C69" s="23">
        <f>COUNTIF(Data!I$2:I$300,"Господарський процес")</f>
        <v>0</v>
      </c>
      <c r="D69" s="52">
        <f>COUNTIFS(Data!$I$2:$I$500,"Господарський процес",Data!$M$2:$M$500,1)</f>
        <v>0</v>
      </c>
      <c r="E69" s="52">
        <f>COUNTIFS(Data!$I$2:$I$500,"Господарський процес",Data!$M$2:$M$500,2)</f>
        <v>0</v>
      </c>
      <c r="F69" s="52">
        <f>COUNTIFS(Data!$I$2:$I$500,"Господарський процес",Data!$M$2:$M$500,3)</f>
        <v>0</v>
      </c>
      <c r="G69" s="52">
        <f>COUNTIFS(Data!$I$2:$I$500,"Господарський процес",Data!$M$2:$M$500,4)</f>
        <v>0</v>
      </c>
      <c r="H69" s="52">
        <f>COUNTIFS(Data!$I$2:$I$500,"Господарський процес",Data!$M$2:$M$500,5)</f>
        <v>0</v>
      </c>
      <c r="I69" s="52">
        <f>COUNTIFS(Data!$I$2:$I$500,"Господарський процес",Data!$M$2:$M$500,9)</f>
        <v>0</v>
      </c>
      <c r="J69" s="55" t="e">
        <f t="shared" si="0"/>
        <v>#DIV/0!</v>
      </c>
      <c r="K69" s="28"/>
      <c r="L69" s="56"/>
      <c r="M69" s="2"/>
      <c r="N69" s="2"/>
      <c r="O69" s="2"/>
      <c r="P69" s="2"/>
      <c r="Q69" s="2"/>
      <c r="R69" s="2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ht="30.6" x14ac:dyDescent="0.3">
      <c r="A70" s="52">
        <v>26</v>
      </c>
      <c r="B70" s="53" t="s">
        <v>109</v>
      </c>
      <c r="C70" s="23">
        <f>COUNTIF(Data!I$2:I$300,"Справа про адміністративні  правопорушення")</f>
        <v>2</v>
      </c>
      <c r="D70" s="52">
        <f>COUNTIFS(Data!$I$2:$I$500,"Справа про адміністративні  правопорушення",Data!$M$2:$M$500,1)</f>
        <v>0</v>
      </c>
      <c r="E70" s="52">
        <f>COUNTIFS(Data!$I$2:$I$500,"Справа про адміністративні  правопорушення",Data!$M$2:$M$500,2)</f>
        <v>0</v>
      </c>
      <c r="F70" s="52">
        <f>COUNTIFS(Data!$I$2:$I$500,"Справа про адміністративні  правопорушення",Data!$M$2:$M$500,3)</f>
        <v>0</v>
      </c>
      <c r="G70" s="52">
        <f>COUNTIFS(Data!$I$2:$I$500,"Справа про адміністративні  правопорушення",Data!$M$2:$M$500,4)</f>
        <v>0</v>
      </c>
      <c r="H70" s="52">
        <f>COUNTIFS(Data!$I$2:$I$500,"Справа про адміністративні  правопорушення",Data!$M$2:$M$500,5)</f>
        <v>1</v>
      </c>
      <c r="I70" s="52">
        <f>COUNTIFS(Data!$I$2:$I$500,"Справа про адміністративні  правопорушення",Data!$M$2:$M$500,9)</f>
        <v>1</v>
      </c>
      <c r="J70" s="55">
        <f t="shared" si="0"/>
        <v>5</v>
      </c>
      <c r="K70" s="28"/>
      <c r="L70" s="56"/>
      <c r="M70" s="2"/>
      <c r="N70" s="2"/>
      <c r="O70" s="2"/>
      <c r="P70" s="2"/>
      <c r="Q70" s="2"/>
      <c r="R70" s="2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ht="15.6" x14ac:dyDescent="0.3">
      <c r="A71" s="35"/>
      <c r="B71" s="35" t="s">
        <v>71</v>
      </c>
      <c r="C71" s="48">
        <f>COUNT(Data!$A$2:$A$500)</f>
        <v>30</v>
      </c>
      <c r="D71" s="64">
        <f>COUNTIF(Data!$M$2:$M$500,1)</f>
        <v>0</v>
      </c>
      <c r="E71" s="64">
        <f>COUNTIF(Data!$M$2:$M$500,2)</f>
        <v>0</v>
      </c>
      <c r="F71" s="64">
        <f>COUNTIF(Data!$M$2:$M$500,3)</f>
        <v>2</v>
      </c>
      <c r="G71" s="64">
        <f>COUNTIF(Data!$M$2:$M$500,4)</f>
        <v>4</v>
      </c>
      <c r="H71" s="64">
        <f>COUNTIF(Data!$M$2:$M$500,5)</f>
        <v>20</v>
      </c>
      <c r="I71" s="64">
        <f>COUNTIF(Data!$M$2:$M$500,9)</f>
        <v>4</v>
      </c>
      <c r="J71" s="55">
        <f t="shared" si="0"/>
        <v>4.6923076923076925</v>
      </c>
      <c r="K71" s="28"/>
      <c r="M71" s="2"/>
      <c r="N71" s="2"/>
      <c r="O71" s="2"/>
      <c r="P71" s="2"/>
      <c r="Q71" s="2"/>
      <c r="R71" s="2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ht="15.6" x14ac:dyDescent="0.3">
      <c r="A72" s="65"/>
      <c r="B72" s="65"/>
      <c r="C72" s="65"/>
      <c r="D72" s="65"/>
      <c r="E72" s="65"/>
      <c r="F72" s="65"/>
      <c r="G72" s="1"/>
      <c r="H72" s="1"/>
      <c r="I72" s="1"/>
      <c r="J72" s="1"/>
      <c r="K72" s="28"/>
      <c r="M72" s="2"/>
      <c r="N72" s="2"/>
      <c r="O72" s="2"/>
      <c r="P72" s="2"/>
      <c r="Q72" s="2"/>
      <c r="R72" s="2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ht="15.6" x14ac:dyDescent="0.3">
      <c r="A73" s="65"/>
      <c r="B73" s="65"/>
      <c r="C73" s="65"/>
      <c r="D73" s="65"/>
      <c r="E73" s="65"/>
      <c r="F73" s="65"/>
      <c r="G73" s="1"/>
      <c r="H73" s="1"/>
      <c r="I73" s="1"/>
      <c r="J73" s="1"/>
      <c r="K73" s="28"/>
      <c r="M73" s="2"/>
      <c r="N73" s="2"/>
      <c r="O73" s="2"/>
      <c r="P73" s="2"/>
      <c r="Q73" s="2"/>
      <c r="R73" s="2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ht="17.399999999999999" x14ac:dyDescent="0.3">
      <c r="B74" s="66" t="s">
        <v>112</v>
      </c>
      <c r="C74" s="67"/>
      <c r="D74" s="67"/>
      <c r="E74" s="67"/>
      <c r="F74" s="67"/>
      <c r="G74" s="68"/>
      <c r="H74" s="68"/>
      <c r="I74" s="68"/>
      <c r="J74" s="69">
        <f>AVERAGE(J88,J99,J113,J124,J133,J143)</f>
        <v>4.694458828580955</v>
      </c>
      <c r="K74" s="28"/>
      <c r="M74" s="2"/>
      <c r="N74" s="2"/>
      <c r="O74" s="2"/>
      <c r="P74" s="2"/>
      <c r="Q74" s="2"/>
      <c r="R74" s="2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ht="17.399999999999999" x14ac:dyDescent="0.3">
      <c r="B75" s="70"/>
      <c r="C75" s="65"/>
      <c r="D75" s="65"/>
      <c r="E75" s="65"/>
      <c r="F75" s="65"/>
      <c r="G75" s="1"/>
      <c r="H75" s="1"/>
      <c r="I75" s="1"/>
      <c r="J75" s="1"/>
      <c r="K75" s="28"/>
      <c r="M75" s="2"/>
      <c r="N75" s="2"/>
      <c r="O75" s="2"/>
      <c r="P75" s="2"/>
      <c r="Q75" s="2"/>
      <c r="R75" s="2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ht="17.399999999999999" x14ac:dyDescent="0.3">
      <c r="B76" s="70"/>
      <c r="C76" s="65"/>
      <c r="D76" s="65"/>
      <c r="E76" s="65"/>
      <c r="F76" s="65"/>
      <c r="G76" s="1"/>
      <c r="H76" s="1"/>
      <c r="I76" s="1"/>
      <c r="J76" s="1"/>
      <c r="K76" s="28"/>
      <c r="M76" s="2"/>
      <c r="N76" s="2"/>
      <c r="O76" s="2"/>
      <c r="P76" s="2"/>
      <c r="Q76" s="2"/>
      <c r="R76" s="2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ht="17.399999999999999" x14ac:dyDescent="0.3">
      <c r="B77" s="70" t="s">
        <v>114</v>
      </c>
      <c r="C77" s="65"/>
      <c r="D77" s="65"/>
      <c r="E77" s="65"/>
      <c r="F77" s="65"/>
      <c r="G77" s="1"/>
      <c r="H77" s="1"/>
      <c r="I77" s="1"/>
      <c r="J77" s="1"/>
      <c r="K77" s="28"/>
      <c r="M77" s="2"/>
      <c r="N77" s="2"/>
      <c r="O77" s="2"/>
      <c r="P77" s="2"/>
      <c r="Q77" s="2"/>
      <c r="R77" s="2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ht="31.2" x14ac:dyDescent="0.3">
      <c r="A78" s="71" t="s">
        <v>57</v>
      </c>
      <c r="B78" s="137" t="s">
        <v>115</v>
      </c>
      <c r="C78" s="135"/>
      <c r="D78" s="135"/>
      <c r="E78" s="135"/>
      <c r="F78" s="136"/>
      <c r="G78" s="137" t="s">
        <v>116</v>
      </c>
      <c r="H78" s="135"/>
      <c r="I78" s="136"/>
      <c r="J78" s="73" t="s">
        <v>117</v>
      </c>
      <c r="K78" s="74"/>
      <c r="L78" s="74"/>
      <c r="M78" s="2"/>
      <c r="N78" s="2"/>
      <c r="O78" s="2"/>
      <c r="P78" s="2"/>
      <c r="Q78" s="2"/>
      <c r="R78" s="2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ht="15.6" x14ac:dyDescent="0.3">
      <c r="A79" s="75">
        <v>1</v>
      </c>
      <c r="B79" s="148" t="s">
        <v>119</v>
      </c>
      <c r="C79" s="135"/>
      <c r="D79" s="135"/>
      <c r="E79" s="135"/>
      <c r="F79" s="136"/>
      <c r="G79" s="138" t="s">
        <v>120</v>
      </c>
      <c r="H79" s="135"/>
      <c r="I79" s="136"/>
      <c r="J79" s="77">
        <f>((COUNTIF(Data!$P$2:$P$500,1)*1)+(COUNTIF(Data!$P$2:$P$500,2)*2)+(COUNTIF(Data!$P$2:$P$500,3)*3)+(COUNTIF(Data!$P$2:$P$500,4)*4)+(COUNTIF(Data!$P$2:$P$500,5)*5))/(COUNTIF(Data!$P$2:$P$500,1)+COUNTIF(Data!$P$2:$P$500,2)+COUNTIF(Data!$P$2:$P$500,3)+COUNTIF(Data!$P$2:$P$500,4)+COUNTIF(Data!$P$2:$P$500,5))</f>
        <v>4.9642857142857144</v>
      </c>
      <c r="K79" s="28"/>
      <c r="M79" s="2"/>
      <c r="N79" s="2"/>
      <c r="O79" s="2"/>
      <c r="P79" s="2"/>
      <c r="Q79" s="2"/>
      <c r="R79" s="2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ht="15.6" x14ac:dyDescent="0.3">
      <c r="A80" s="78">
        <v>2</v>
      </c>
      <c r="B80" s="148" t="s">
        <v>122</v>
      </c>
      <c r="C80" s="135"/>
      <c r="D80" s="135"/>
      <c r="E80" s="135"/>
      <c r="F80" s="136"/>
      <c r="G80" s="138" t="s">
        <v>120</v>
      </c>
      <c r="H80" s="135"/>
      <c r="I80" s="136"/>
      <c r="J80" s="77">
        <f>((COUNTIF(Data!$Q$2:$Q$500,1)*1)+(COUNTIF(Data!$Q$2:$Q$500,2)*2)+(COUNTIF(Data!$Q$2:$Q$500,3)*3)+(COUNTIF(Data!$Q$2:$Q$500,4)*4)+(COUNTIF(Data!$Q$2:$Q$500,5)*5))/(COUNTIF(Data!$Q$2:$Q$500,1)+COUNTIF(Data!$Q$2:$Q$500,2)+COUNTIF(Data!$Q$2:$Q$500,3)+COUNTIF(Data!$Q$2:$Q$500,4)+COUNTIF(Data!$Q$2:$Q$500,5))</f>
        <v>4.2777777777777777</v>
      </c>
      <c r="K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5.6" x14ac:dyDescent="0.3">
      <c r="A81" s="75">
        <v>3</v>
      </c>
      <c r="B81" s="148" t="s">
        <v>123</v>
      </c>
      <c r="C81" s="135"/>
      <c r="D81" s="135"/>
      <c r="E81" s="135"/>
      <c r="F81" s="136"/>
      <c r="G81" s="138" t="s">
        <v>120</v>
      </c>
      <c r="H81" s="135"/>
      <c r="I81" s="136"/>
      <c r="J81" s="77">
        <f>((COUNTIF(Data!$R$2:$R$500,1)*1)+(COUNTIF(Data!$R$2:$R$500,2)*2)+(COUNTIF(Data!$R$2:$R$500,3)*3)+(COUNTIF(Data!$R$2:$R$500,4)*4)+(COUNTIF(Data!$R$2:$R$500,5)*5))/(COUNTIF(Data!$R$2:$R$500,1)+COUNTIF(Data!$R$2:$R$500,2)+COUNTIF(Data!$R$2:$R$500,3)+COUNTIF(Data!$R$2:$R$500,4)+COUNTIF(Data!$R$2:$R$500,5))</f>
        <v>4.7727272727272725</v>
      </c>
      <c r="K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ht="15.6" x14ac:dyDescent="0.3">
      <c r="A82" s="78">
        <v>4</v>
      </c>
      <c r="B82" s="148" t="s">
        <v>124</v>
      </c>
      <c r="C82" s="135"/>
      <c r="D82" s="135"/>
      <c r="E82" s="135"/>
      <c r="F82" s="136"/>
      <c r="G82" s="138" t="s">
        <v>125</v>
      </c>
      <c r="H82" s="135"/>
      <c r="I82" s="136"/>
      <c r="J82" s="77">
        <f>((COUNTIF(Data!$S$2:$S$500,1)*1)+(COUNTIF(Data!$S$2:$S$500,2)*2)+(COUNTIF(Data!$S$2:$S$500,3)*3)+(COUNTIF(Data!$S$2:$S$500,4)*4)+(COUNTIF(Data!$S$2:$S$500,5)*5))/(COUNTIF(Data!$S$2:$S$500,1)+COUNTIF(Data!$S$2:$S$500,2)+COUNTIF(Data!$S$2:$S$500,3)+COUNTIF(Data!$S$2:$S$500,4)+COUNTIF(Data!$S$2:$S$500,5))</f>
        <v>4.8571428571428568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ht="15.6" x14ac:dyDescent="0.3">
      <c r="A83" s="75">
        <v>5</v>
      </c>
      <c r="B83" s="148" t="s">
        <v>127</v>
      </c>
      <c r="C83" s="135"/>
      <c r="D83" s="135"/>
      <c r="E83" s="135"/>
      <c r="F83" s="136"/>
      <c r="G83" s="138" t="s">
        <v>120</v>
      </c>
      <c r="H83" s="135"/>
      <c r="I83" s="136"/>
      <c r="J83" s="77">
        <f>((COUNTIF(Data!$T$2:$T$500,1)*1)+(COUNTIF(Data!$T$2:$T$500,2)*2)+(COUNTIF(Data!$T$2:$T$500,3)*3)+(COUNTIF(Data!$T$2:$T$500,4)*4)+(COUNTIF(Data!$T$2:$T$500,5)*5))/(COUNTIF(Data!$T$2:$T$500,1)+COUNTIF(Data!$T$2:$T$500,2)+COUNTIF(Data!$T$2:$T$500,3)+COUNTIF(Data!$T$2:$T$500,4)+COUNTIF(Data!$T$2:$T$500,5))</f>
        <v>4.1724137931034484</v>
      </c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ht="15.6" x14ac:dyDescent="0.3">
      <c r="A84" s="78">
        <v>6</v>
      </c>
      <c r="B84" s="148" t="s">
        <v>129</v>
      </c>
      <c r="C84" s="135"/>
      <c r="D84" s="135"/>
      <c r="E84" s="135"/>
      <c r="F84" s="136"/>
      <c r="G84" s="138" t="s">
        <v>120</v>
      </c>
      <c r="H84" s="135"/>
      <c r="I84" s="136"/>
      <c r="J84" s="77">
        <f>((COUNTIF(Data!$U$2:$U$500,1)*1)+(COUNTIF(Data!$U$2:$U$500,2)*2)+(COUNTIF(Data!$U$2:$U$500,3)*3)+(COUNTIF(Data!$U$2:$U$500,4)*4)+(COUNTIF(Data!$U$2:$U$500,5)*5))/(COUNTIF(Data!$U$2:$U$500,1)+COUNTIF(Data!$U$2:$U$500,2)+COUNTIF(Data!$U$2:$U$500,3)+COUNTIF(Data!$U$2:$U$500,4)+COUNTIF(Data!$U$2:$U$500,5))</f>
        <v>4.4615384615384617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ht="15.6" x14ac:dyDescent="0.3">
      <c r="A85" s="75">
        <v>7</v>
      </c>
      <c r="B85" s="148" t="s">
        <v>130</v>
      </c>
      <c r="C85" s="135"/>
      <c r="D85" s="135"/>
      <c r="E85" s="135"/>
      <c r="F85" s="136"/>
      <c r="G85" s="138" t="s">
        <v>120</v>
      </c>
      <c r="H85" s="135"/>
      <c r="I85" s="136"/>
      <c r="J85" s="77">
        <f>((COUNTIF(Data!$V$2:$V$500,1)*1)+(COUNTIF(Data!$V$2:$V$500,2)*2)+(COUNTIF(Data!$V$2:$V$500,3)*3)+(COUNTIF(Data!$V$2:$V$500,4)*4)+(COUNTIF(Data!$V$2:$V$500,5)*5))/(COUNTIF(Data!$V$2:$V$500,1)+COUNTIF(Data!$V$2:$V$500,2)+COUNTIF(Data!$V$2:$V$500,3)+COUNTIF(Data!$V$2:$V$500,4)+COUNTIF(Data!$V$2:$V$500,5))</f>
        <v>4.5384615384615383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ht="15.6" x14ac:dyDescent="0.3">
      <c r="A86" s="78">
        <v>8</v>
      </c>
      <c r="B86" s="150" t="s">
        <v>132</v>
      </c>
      <c r="C86" s="135"/>
      <c r="D86" s="135"/>
      <c r="E86" s="135"/>
      <c r="F86" s="136"/>
      <c r="G86" s="149" t="s">
        <v>120</v>
      </c>
      <c r="H86" s="135"/>
      <c r="I86" s="136"/>
      <c r="J86" s="79">
        <f>((COUNTIF(Data!$W$2:$W$500,1)*1)+(COUNTIF(Data!$W$2:$W$500,2)*2)+(COUNTIF(Data!$W$2:$W$500,3)*3)+(COUNTIF(Data!$W$2:$W$500,4)*4)+(COUNTIF(Data!$W$2:$W$500,5)*5))/(COUNTIF(Data!$W$2:$W$500,1)+COUNTIF(Data!$W$2:$W$500,2)+COUNTIF(Data!$W$2:$W$500,3)+COUNTIF(Data!$W$2:$W$500,4)+COUNTIF(Data!$W$2:$W$500,5))</f>
        <v>4.7142857142857144</v>
      </c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ht="15.6" x14ac:dyDescent="0.3">
      <c r="A87" s="75">
        <v>9</v>
      </c>
      <c r="B87" s="148" t="s">
        <v>134</v>
      </c>
      <c r="C87" s="135"/>
      <c r="D87" s="135"/>
      <c r="E87" s="135"/>
      <c r="F87" s="136"/>
      <c r="G87" s="138" t="s">
        <v>120</v>
      </c>
      <c r="H87" s="135"/>
      <c r="I87" s="136"/>
      <c r="J87" s="77">
        <f>((COUNTIF(Data!$X$2:$X$500,1)*1)+(COUNTIF(Data!$X$2:$X$500,2)*2)+(COUNTIF(Data!$X$2:$X$500,3)*3)+(COUNTIF(Data!$X$2:$X$500,4)*4)+(COUNTIF(Data!$X$2:$X$500,5)*5))/(COUNTIF(Data!$X$2:$X$500,1)+COUNTIF(Data!$X$2:$X$500,2)+COUNTIF(Data!$X$2:$X$500,3)+COUNTIF(Data!$X$2:$X$500,4)+COUNTIF(Data!$X$2:$X$500,5))</f>
        <v>3.5909090909090908</v>
      </c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ht="15.6" x14ac:dyDescent="0.3">
      <c r="A88" s="80"/>
      <c r="B88" s="145" t="s">
        <v>136</v>
      </c>
      <c r="C88" s="135"/>
      <c r="D88" s="135"/>
      <c r="E88" s="135"/>
      <c r="F88" s="136"/>
      <c r="G88" s="154"/>
      <c r="H88" s="135"/>
      <c r="I88" s="136"/>
      <c r="J88" s="81">
        <f>AVERAGE(J79:J85,J87)</f>
        <v>4.4544070632432708</v>
      </c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ht="13.8" x14ac:dyDescent="0.25">
      <c r="A89" s="3"/>
      <c r="B89" s="158"/>
      <c r="C89" s="143"/>
      <c r="D89" s="143"/>
      <c r="E89" s="143"/>
      <c r="F89" s="14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ht="13.2" x14ac:dyDescent="0.25">
      <c r="A90" s="3"/>
      <c r="B90" s="151" t="s">
        <v>137</v>
      </c>
      <c r="C90" s="143"/>
      <c r="D90" s="143"/>
      <c r="E90" s="143"/>
      <c r="F90" s="143"/>
      <c r="G90" s="143"/>
      <c r="H90" s="143"/>
      <c r="I90" s="14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ht="13.8" x14ac:dyDescent="0.25">
      <c r="A91" s="3"/>
      <c r="B91" s="158"/>
      <c r="C91" s="143"/>
      <c r="D91" s="143"/>
      <c r="E91" s="143"/>
      <c r="F91" s="14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ht="13.8" x14ac:dyDescent="0.25">
      <c r="A92" s="3"/>
      <c r="B92" s="158"/>
      <c r="C92" s="143"/>
      <c r="D92" s="143"/>
      <c r="E92" s="143"/>
      <c r="F92" s="14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ht="17.399999999999999" x14ac:dyDescent="0.3">
      <c r="B93" s="70" t="s">
        <v>138</v>
      </c>
      <c r="C93" s="65"/>
      <c r="D93" s="65"/>
      <c r="E93" s="65"/>
      <c r="F93" s="65"/>
      <c r="G93" s="1"/>
      <c r="H93" s="1"/>
      <c r="I93" s="1"/>
      <c r="J93" s="1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ht="13.8" x14ac:dyDescent="0.25">
      <c r="A94" s="82" t="s">
        <v>57</v>
      </c>
      <c r="B94" s="157" t="s">
        <v>115</v>
      </c>
      <c r="C94" s="135"/>
      <c r="D94" s="135"/>
      <c r="E94" s="135"/>
      <c r="F94" s="136"/>
      <c r="G94" s="157" t="s">
        <v>116</v>
      </c>
      <c r="H94" s="135"/>
      <c r="I94" s="136"/>
      <c r="J94" s="83" t="s">
        <v>117</v>
      </c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ht="13.8" x14ac:dyDescent="0.25">
      <c r="A95" s="84">
        <v>1</v>
      </c>
      <c r="B95" s="153" t="s">
        <v>139</v>
      </c>
      <c r="C95" s="135"/>
      <c r="D95" s="135"/>
      <c r="E95" s="135"/>
      <c r="F95" s="136"/>
      <c r="G95" s="155" t="s">
        <v>120</v>
      </c>
      <c r="H95" s="135"/>
      <c r="I95" s="136"/>
      <c r="J95" s="85">
        <f>((COUNTIF(Data!$Y$2:$Y$500,1)*1)+(COUNTIF(Data!$Y$2:$Y$500,2)*2)+(COUNTIF(Data!$Y$2:$Y$500,3)*3)+(COUNTIF(Data!$Y$2:$Y$500,4)*4)+(COUNTIF(Data!$Y$2:$Y$500,5)*5))/(COUNTIF(Data!$Y$2:$Y$500,1)+COUNTIF(Data!$Y$2:$Y$500,2)+COUNTIF(Data!$Y$2:$Y$500,3)+COUNTIF(Data!$Y$2:$Y$500,4)+COUNTIF(Data!$Y$2:$Y$500,5))</f>
        <v>4.8</v>
      </c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ht="13.8" x14ac:dyDescent="0.25">
      <c r="A96" s="86">
        <v>2</v>
      </c>
      <c r="B96" s="153" t="s">
        <v>140</v>
      </c>
      <c r="C96" s="135"/>
      <c r="D96" s="135"/>
      <c r="E96" s="135"/>
      <c r="F96" s="136"/>
      <c r="G96" s="155" t="s">
        <v>120</v>
      </c>
      <c r="H96" s="135"/>
      <c r="I96" s="136"/>
      <c r="J96" s="85">
        <f>((COUNTIF(Data!$Z$2:$Z$500,1)*1)+(COUNTIF(Data!$Z$2:$Z$500,2)*2)+(COUNTIF(Data!$Z$2:$Z$500,3)*3)+(COUNTIF(Data!$Z$2:$Z$500,4)*4)+(COUNTIF(Data!$Z$2:$Z$500,5)*5))/(COUNTIF(Data!$Z$2:$Z$500,1)+COUNTIF(Data!$Z$2:$Z$500,2)+COUNTIF(Data!$Z$2:$Z$500,3)+COUNTIF(Data!$Z$2:$Z$500,4)+COUNTIF(Data!$Z$2:$Z$500,5))</f>
        <v>4.7586206896551726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ht="13.8" x14ac:dyDescent="0.25">
      <c r="A97" s="84">
        <v>3</v>
      </c>
      <c r="B97" s="153" t="s">
        <v>141</v>
      </c>
      <c r="C97" s="135"/>
      <c r="D97" s="135"/>
      <c r="E97" s="135"/>
      <c r="F97" s="136"/>
      <c r="G97" s="155" t="s">
        <v>120</v>
      </c>
      <c r="H97" s="135"/>
      <c r="I97" s="136"/>
      <c r="J97" s="85">
        <f>((COUNTIF(Data!$AA$2:$AA$500,1)*1)+(COUNTIF(Data!$AA$2:$AA$500,2)*2)+(COUNTIF(Data!$AA$2:$AA$500,3)*3)+(COUNTIF(Data!$AA$2:$AA$500,4)*4)+(COUNTIF(Data!$AA$2:$AA$500,5)*5))/(COUNTIF(Data!$AA$2:$AA$500,1)+COUNTIF(Data!$AA$2:$AA$500,2)+COUNTIF(Data!$AA$2:$AA$500,3)+COUNTIF(Data!$AA$2:$AA$500,4)+COUNTIF(Data!$AA$2:$AA$500,5))</f>
        <v>4.8620689655172411</v>
      </c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ht="13.8" x14ac:dyDescent="0.25">
      <c r="A98" s="86">
        <v>4</v>
      </c>
      <c r="B98" s="153" t="s">
        <v>142</v>
      </c>
      <c r="C98" s="135"/>
      <c r="D98" s="135"/>
      <c r="E98" s="135"/>
      <c r="F98" s="136"/>
      <c r="G98" s="155" t="s">
        <v>120</v>
      </c>
      <c r="H98" s="135"/>
      <c r="I98" s="136"/>
      <c r="J98" s="85">
        <f>((COUNTIF(Data!$AB$2:$AB$500,1)*1)+(COUNTIF(Data!$AB$2:$AB$500,2)*2)+(COUNTIF(Data!$AB$2:$AB$500,3)*3)+(COUNTIF(Data!$AB$2:$AB$500,4)*4)+(COUNTIF(Data!$AB$2:$AB$500,5)*5))/(COUNTIF(Data!$AB$2:$AB$500,1)+COUNTIF(Data!$AB$2:$AB$500,2)+COUNTIF(Data!$AB$2:$AB$500,3)+COUNTIF(Data!$AB$2:$AB$500,4)+COUNTIF(Data!$AB$2:$AB$500,5))</f>
        <v>4.9000000000000004</v>
      </c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ht="13.8" x14ac:dyDescent="0.25">
      <c r="A99" s="87"/>
      <c r="B99" s="152" t="s">
        <v>136</v>
      </c>
      <c r="C99" s="135"/>
      <c r="D99" s="135"/>
      <c r="E99" s="135"/>
      <c r="F99" s="136"/>
      <c r="G99" s="156"/>
      <c r="H99" s="135"/>
      <c r="I99" s="136"/>
      <c r="J99" s="88">
        <f>AVERAGE(J95:J98)</f>
        <v>4.8301724137931039</v>
      </c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ht="17.399999999999999" x14ac:dyDescent="0.3">
      <c r="B102" s="70" t="s">
        <v>143</v>
      </c>
      <c r="C102" s="65"/>
      <c r="D102" s="65"/>
      <c r="E102" s="65"/>
      <c r="F102" s="65"/>
      <c r="G102" s="1"/>
      <c r="H102" s="1"/>
      <c r="I102" s="1"/>
      <c r="J102" s="1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ht="31.2" x14ac:dyDescent="0.3">
      <c r="A103" s="71" t="s">
        <v>57</v>
      </c>
      <c r="B103" s="137" t="s">
        <v>115</v>
      </c>
      <c r="C103" s="135"/>
      <c r="D103" s="135"/>
      <c r="E103" s="135"/>
      <c r="F103" s="136"/>
      <c r="G103" s="137" t="s">
        <v>116</v>
      </c>
      <c r="H103" s="135"/>
      <c r="I103" s="136"/>
      <c r="J103" s="73" t="s">
        <v>117</v>
      </c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ht="15.6" x14ac:dyDescent="0.3">
      <c r="A104" s="75">
        <v>1</v>
      </c>
      <c r="B104" s="134" t="s">
        <v>144</v>
      </c>
      <c r="C104" s="135"/>
      <c r="D104" s="135"/>
      <c r="E104" s="135"/>
      <c r="F104" s="136"/>
      <c r="G104" s="138" t="s">
        <v>120</v>
      </c>
      <c r="H104" s="135"/>
      <c r="I104" s="136"/>
      <c r="J104" s="77">
        <f>((COUNTIF(Data!$AC$2:$AC$500,1)*1)+(COUNTIF(Data!$AC$2:$AC$500,2)*2)+(COUNTIF(Data!$AC$2:$AC$500,3)*3)+(COUNTIF(Data!$AC$2:$AC$500,4)*4)+(COUNTIF(Data!$AC$2:$AC$500,5)*5))/(COUNTIF(Data!$AC$2:$AC$500,1)+COUNTIF(Data!$AC$2:$AC$500,2)+COUNTIF(Data!$AC$2:$AC$500,3)+COUNTIF(Data!$AC$2:$AC$500,4)+COUNTIF(Data!$AC$2:$AC$500,5))</f>
        <v>4.8</v>
      </c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ht="15.6" x14ac:dyDescent="0.3">
      <c r="A105" s="78"/>
      <c r="B105" s="134" t="s">
        <v>145</v>
      </c>
      <c r="C105" s="135"/>
      <c r="D105" s="135"/>
      <c r="E105" s="135"/>
      <c r="F105" s="136"/>
      <c r="G105" s="138"/>
      <c r="H105" s="135"/>
      <c r="I105" s="136"/>
      <c r="J105" s="77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ht="15.6" x14ac:dyDescent="0.3">
      <c r="A106" s="75">
        <v>3</v>
      </c>
      <c r="B106" s="134" t="s">
        <v>146</v>
      </c>
      <c r="C106" s="135"/>
      <c r="D106" s="135"/>
      <c r="E106" s="135"/>
      <c r="F106" s="136"/>
      <c r="G106" s="138" t="s">
        <v>120</v>
      </c>
      <c r="H106" s="135"/>
      <c r="I106" s="136"/>
      <c r="J106" s="77">
        <f>((COUNTIF(Data!$AD$2:$AD$500,1)*1)+(COUNTIF(Data!$AD$2:$AD$500,2)*2)+(COUNTIF(Data!$AD$2:$AD$500,3)*3)+(COUNTIF(Data!$AD$2:$AD$500,4)*4)+(COUNTIF(Data!$AD$2:$AD$500,5)*5))/(COUNTIF(Data!$AD$2:$AD$500,1)+COUNTIF(Data!$AD$2:$AD$500,2)+COUNTIF(Data!$AD$2:$AD$500,3)+COUNTIF(Data!$AD$2:$AD$500,4)+COUNTIF(Data!$AD$2:$AD$500,5))</f>
        <v>4.9000000000000004</v>
      </c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ht="15.6" x14ac:dyDescent="0.3">
      <c r="A107" s="78">
        <v>4</v>
      </c>
      <c r="B107" s="134" t="s">
        <v>147</v>
      </c>
      <c r="C107" s="135"/>
      <c r="D107" s="135"/>
      <c r="E107" s="135"/>
      <c r="F107" s="136"/>
      <c r="G107" s="138" t="s">
        <v>120</v>
      </c>
      <c r="H107" s="135"/>
      <c r="I107" s="136"/>
      <c r="J107" s="77">
        <f>((COUNTIF(Data!$AE$2:$AE$500,1)*1)+(COUNTIF(Data!$AE$2:$AE$500,2)*2)+(COUNTIF(Data!$AE$2:$AE$500,3)*3)+(COUNTIF(Data!$AE$2:$AE$500,4)*4)+(COUNTIF(Data!$AE$2:$AE$500,5)*5))/(COUNTIF(Data!$AE$2:$AE$500,1)+COUNTIF(Data!$AE$2:$AE$500,2)+COUNTIF(Data!$AE$2:$AE$500,3)+COUNTIF(Data!$AE$2:$AE$500,4)+COUNTIF(Data!$AE$2:$AE$500,5))</f>
        <v>4.8965517241379306</v>
      </c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ht="15.6" x14ac:dyDescent="0.3">
      <c r="A108" s="75">
        <v>5</v>
      </c>
      <c r="B108" s="134" t="s">
        <v>148</v>
      </c>
      <c r="C108" s="135"/>
      <c r="D108" s="135"/>
      <c r="E108" s="135"/>
      <c r="F108" s="136"/>
      <c r="G108" s="138" t="s">
        <v>120</v>
      </c>
      <c r="H108" s="135"/>
      <c r="I108" s="136"/>
      <c r="J108" s="77">
        <f>((COUNTIF(Data!$AF$2:$AF$500,1)*1)+(COUNTIF(Data!$AF$2:$AF$500,2)*2)+(COUNTIF(Data!$AF$2:$AF$500,3)*3)+(COUNTIF(Data!$AF$2:$AF$500,4)*4)+(COUNTIF(Data!$AF$2:$AF$500,5)*5))/(COUNTIF(Data!$AF$2:$AF$500,1)+COUNTIF(Data!$AF$2:$AF$500,2)+COUNTIF(Data!$AF$2:$AF$500,3)+COUNTIF(Data!$AF$2:$AF$500,4)+COUNTIF(Data!$AF$2:$AF$500,5))</f>
        <v>4.8275862068965516</v>
      </c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ht="15.6" x14ac:dyDescent="0.3">
      <c r="A109" s="78">
        <v>6</v>
      </c>
      <c r="B109" s="134" t="s">
        <v>149</v>
      </c>
      <c r="C109" s="135"/>
      <c r="D109" s="135"/>
      <c r="E109" s="135"/>
      <c r="F109" s="136"/>
      <c r="G109" s="138" t="s">
        <v>120</v>
      </c>
      <c r="H109" s="135"/>
      <c r="I109" s="136"/>
      <c r="J109" s="77">
        <f>((COUNTIF(Data!$AG$2:$AG$500,1)*1)+(COUNTIF(Data!$AG$2:$AG$500,2)*2)+(COUNTIF(Data!$AG$2:$AG$500,3)*3)+(COUNTIF(Data!$AG$2:$AG$500,4)*4)+(COUNTIF(Data!$AG$2:$AG$500,5)*5))/(COUNTIF(Data!$AG$2:$AG$500,1)+COUNTIF(Data!$AG$2:$AG$500,2)+COUNTIF(Data!$AG$2:$AG$500,3)+COUNTIF(Data!$AG$2:$AG$500,4)+COUNTIF(Data!$AG$2:$AG$500,5))</f>
        <v>4.7586206896551726</v>
      </c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ht="15.6" x14ac:dyDescent="0.3">
      <c r="A110" s="75">
        <v>7</v>
      </c>
      <c r="B110" s="134" t="s">
        <v>150</v>
      </c>
      <c r="C110" s="135"/>
      <c r="D110" s="135"/>
      <c r="E110" s="135"/>
      <c r="F110" s="136"/>
      <c r="G110" s="138" t="s">
        <v>120</v>
      </c>
      <c r="H110" s="135"/>
      <c r="I110" s="136"/>
      <c r="J110" s="77">
        <f>((COUNTIF(Data!$AH$2:$AH$500,1)*1)+(COUNTIF(Data!$AH$2:$AH$500,2)*2)+(COUNTIF(Data!$AH$2:$AH$500,3)*3)+(COUNTIF(Data!$AH$2:$AH$500,4)*4)+(COUNTIF(Data!$AH$2:$AH$500,5)*5))/(COUNTIF(Data!$AH$2:$AH$500,1)+COUNTIF(Data!$AH$2:$AH$500,2)+COUNTIF(Data!$AH$2:$AH$500,3)+COUNTIF(Data!$AH$2:$AH$500,4)+COUNTIF(Data!$AH$2:$AH$500,5))</f>
        <v>4.7037037037037033</v>
      </c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ht="15.6" x14ac:dyDescent="0.3">
      <c r="A111" s="78">
        <v>8</v>
      </c>
      <c r="B111" s="134" t="s">
        <v>151</v>
      </c>
      <c r="C111" s="135"/>
      <c r="D111" s="135"/>
      <c r="E111" s="135"/>
      <c r="F111" s="136"/>
      <c r="G111" s="140" t="s">
        <v>152</v>
      </c>
      <c r="H111" s="135"/>
      <c r="I111" s="136"/>
      <c r="J111" s="89">
        <f>COUNTIF(Data!$AI$2:$AI$500,"Так")/COUNT(Data!$A2:A500)</f>
        <v>0.43333333333333335</v>
      </c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ht="15.6" x14ac:dyDescent="0.3">
      <c r="A112" s="75">
        <v>9</v>
      </c>
      <c r="B112" s="134" t="s">
        <v>153</v>
      </c>
      <c r="C112" s="135"/>
      <c r="D112" s="135"/>
      <c r="E112" s="135"/>
      <c r="F112" s="136"/>
      <c r="G112" s="138" t="s">
        <v>120</v>
      </c>
      <c r="H112" s="135"/>
      <c r="I112" s="136"/>
      <c r="J112" s="77">
        <f>((COUNTIF(Data!$AJ$2:$AJ$500,1)*1)+(COUNTIF(Data!$AJ$2:$AJ$500,2)*2)+(COUNTIF(Data!$AJ$2:$AJ$500,3)*3)+(COUNTIF(Data!$AJ$2:$AJ$500,4)*4)+(COUNTIF(Data!$AJ$2:$AJ$500,5)*5))/(COUNTIF(Data!$AJ$2:$AJ$500,1)+COUNTIF(Data!$AJ$2:$AJ$500,2)+COUNTIF(Data!$AJ$2:$AJ$500,3)+COUNTIF(Data!$AJ$2:$AJ$500,4)+COUNTIF(Data!$AJ$2:$AJ$500,5))</f>
        <v>4.125</v>
      </c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ht="15.6" x14ac:dyDescent="0.3">
      <c r="A113" s="80"/>
      <c r="B113" s="144" t="s">
        <v>136</v>
      </c>
      <c r="C113" s="135"/>
      <c r="D113" s="135"/>
      <c r="E113" s="135"/>
      <c r="F113" s="136"/>
      <c r="G113" s="138"/>
      <c r="H113" s="135"/>
      <c r="I113" s="136"/>
      <c r="J113" s="81">
        <f>AVERAGE(J104,J106:J110,J112)</f>
        <v>4.7159231891990512</v>
      </c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ht="17.399999999999999" x14ac:dyDescent="0.3">
      <c r="B116" s="70" t="s">
        <v>154</v>
      </c>
      <c r="C116" s="65"/>
      <c r="D116" s="65"/>
      <c r="E116" s="65"/>
      <c r="F116" s="65"/>
      <c r="G116" s="1"/>
      <c r="H116" s="1"/>
      <c r="I116" s="1"/>
      <c r="J116" s="1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ht="31.2" x14ac:dyDescent="0.3">
      <c r="A117" s="71" t="s">
        <v>57</v>
      </c>
      <c r="B117" s="137" t="s">
        <v>115</v>
      </c>
      <c r="C117" s="135"/>
      <c r="D117" s="135"/>
      <c r="E117" s="135"/>
      <c r="F117" s="136"/>
      <c r="G117" s="137" t="s">
        <v>116</v>
      </c>
      <c r="H117" s="135"/>
      <c r="I117" s="136"/>
      <c r="J117" s="73" t="s">
        <v>117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ht="15.6" x14ac:dyDescent="0.3">
      <c r="A118" s="75">
        <v>1</v>
      </c>
      <c r="B118" s="139" t="s">
        <v>155</v>
      </c>
      <c r="C118" s="135"/>
      <c r="D118" s="135"/>
      <c r="E118" s="135"/>
      <c r="F118" s="136"/>
      <c r="G118" s="138" t="s">
        <v>120</v>
      </c>
      <c r="H118" s="135"/>
      <c r="I118" s="136"/>
      <c r="J118" s="77">
        <f>((COUNTIF(Data!$AK$2:$AK$500,1)*1)+(COUNTIF(Data!$AK$2:$AK$500,2)*2)+(COUNTIF(Data!$AK$2:$AK$500,3)*3)+(COUNTIF(Data!$AK$2:$AK$500,4)*4)+(COUNTIF(Data!$AK$2:$AK$500,5)*5))/(COUNTIF(Data!$AK$2:$AK$500,1)+COUNTIF(Data!$AK$2:$AK$500,2)+COUNTIF(Data!$AK$2:$AK$500,3)+COUNTIF(Data!$AK$2:$AK$500,4)+COUNTIF(Data!$AK$2:$AK$500,5))</f>
        <v>4.6071428571428568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ht="15.6" x14ac:dyDescent="0.3">
      <c r="A119" s="78">
        <v>2</v>
      </c>
      <c r="B119" s="139" t="s">
        <v>156</v>
      </c>
      <c r="C119" s="135"/>
      <c r="D119" s="135"/>
      <c r="E119" s="135"/>
      <c r="F119" s="136"/>
      <c r="G119" s="138" t="s">
        <v>120</v>
      </c>
      <c r="H119" s="135"/>
      <c r="I119" s="136"/>
      <c r="J119" s="77">
        <f>((COUNTIF(Data!$AL$2:$AL$500,1)*5)+(COUNTIF(Data!$AL$2:$AL$500,2)*4)+(COUNTIF(Data!$AL$2:$AL$500,3)*3)+(COUNTIF(Data!$AL$2:$AL$500,4)*2)+(COUNTIF(Data!$AL$2:$AL$500,5)*1))/(COUNTIF(Data!$AL$2:$AL$500,1)+COUNTIF(Data!$AL$2:$AL$500,2)+COUNTIF(Data!$AL$2:$AL$500,3)+COUNTIF(Data!$AL$2:$AL$500,4)+COUNTIF(Data!$AL$2:$AL$500,5))</f>
        <v>4.68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ht="15.6" x14ac:dyDescent="0.3">
      <c r="A120" s="75">
        <v>3</v>
      </c>
      <c r="B120" s="139" t="s">
        <v>157</v>
      </c>
      <c r="C120" s="135"/>
      <c r="D120" s="135"/>
      <c r="E120" s="135"/>
      <c r="F120" s="136"/>
      <c r="G120" s="138"/>
      <c r="H120" s="135"/>
      <c r="I120" s="136"/>
      <c r="J120" s="77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ht="15.6" x14ac:dyDescent="0.3">
      <c r="A121" s="78">
        <v>4</v>
      </c>
      <c r="B121" s="139" t="s">
        <v>158</v>
      </c>
      <c r="C121" s="135"/>
      <c r="D121" s="135"/>
      <c r="E121" s="135"/>
      <c r="F121" s="136"/>
      <c r="G121" s="138" t="s">
        <v>120</v>
      </c>
      <c r="H121" s="135"/>
      <c r="I121" s="136"/>
      <c r="J121" s="77">
        <f>((COUNTIF(Data!$AM$2:$AM$500,1)*1)+(COUNTIF(Data!$AM$2:$AM$500,2)*2)+(COUNTIF(Data!$AM$2:$AM$500,3)*3)+(COUNTIF(Data!$AM$2:$AM$500,4)*4)+(COUNTIF(Data!$AM$2:$AM$500,5)*5))/(COUNTIF(Data!$AM$2:$AM$500,1)+COUNTIF(Data!$AM$2:$AM$500,2)+COUNTIF(Data!$AM$2:$AM$500,3)+COUNTIF(Data!$AM$2:$AM$500,4)+COUNTIF(Data!$AM$2:$AM$500,5))</f>
        <v>4.8888888888888893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15.6" x14ac:dyDescent="0.3">
      <c r="A122" s="80"/>
      <c r="B122" s="139" t="s">
        <v>159</v>
      </c>
      <c r="C122" s="135"/>
      <c r="D122" s="135"/>
      <c r="E122" s="135"/>
      <c r="F122" s="136"/>
      <c r="G122" s="138" t="s">
        <v>120</v>
      </c>
      <c r="H122" s="135"/>
      <c r="I122" s="136"/>
      <c r="J122" s="77">
        <f>((COUNTIF(Data!$AN$2:$AN$500,1)*1)+(COUNTIF(Data!$AN$2:$AN$500,2)*2)+(COUNTIF(Data!$AN$2:$AN$500,3)*3)+(COUNTIF(Data!$AN$2:$AN$500,4)*4)+(COUNTIF(Data!$AN$2:$AN$500,5)*5))/(COUNTIF(Data!$AN$2:$AN$500,1)+COUNTIF(Data!$AN$2:$AN$500,2)+COUNTIF(Data!$AN$2:$AN$500,3)+COUNTIF(Data!$AN$2:$AN$500,4)+COUNTIF(Data!$AN$2:$AN$500,5))</f>
        <v>4.8518518518518521</v>
      </c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ht="15.6" x14ac:dyDescent="0.3">
      <c r="A123" s="90"/>
      <c r="B123" s="139" t="s">
        <v>160</v>
      </c>
      <c r="C123" s="135"/>
      <c r="D123" s="135"/>
      <c r="E123" s="135"/>
      <c r="F123" s="136"/>
      <c r="G123" s="138" t="s">
        <v>120</v>
      </c>
      <c r="H123" s="135"/>
      <c r="I123" s="136"/>
      <c r="J123" s="77">
        <f>((COUNTIF(Data!$AO$2:$AO$500,1)*1)+(COUNTIF(Data!$AO$2:$AO$500,2)*2)+(COUNTIF(Data!$AO$2:$AO$500,3)*3)+(COUNTIF(Data!$AO$2:$AO$500,4)*4)+(COUNTIF(Data!$AO$2:$AO$500,5)*5))/(COUNTIF(Data!$AO$2:$AO$500,1)+COUNTIF(Data!$AO$2:$AO$500,2)+COUNTIF(Data!$AO$2:$AO$500,3)+COUNTIF(Data!$AO$2:$AO$500,4)+COUNTIF(Data!$AO$2:$AO$500,5))</f>
        <v>4.8571428571428568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ht="15.6" x14ac:dyDescent="0.3">
      <c r="A124" s="80"/>
      <c r="B124" s="145" t="s">
        <v>136</v>
      </c>
      <c r="C124" s="135"/>
      <c r="D124" s="135"/>
      <c r="E124" s="135"/>
      <c r="F124" s="136"/>
      <c r="G124" s="138"/>
      <c r="H124" s="135"/>
      <c r="I124" s="136"/>
      <c r="J124" s="81">
        <f>AVERAGE(J118:J119,J121:J123)</f>
        <v>4.7770052910052909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ht="17.399999999999999" x14ac:dyDescent="0.3">
      <c r="B127" s="70" t="s">
        <v>161</v>
      </c>
      <c r="C127" s="65"/>
      <c r="D127" s="65"/>
      <c r="E127" s="65"/>
      <c r="F127" s="65"/>
      <c r="G127" s="1"/>
      <c r="H127" s="1"/>
      <c r="I127" s="1"/>
      <c r="J127" s="1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ht="31.2" x14ac:dyDescent="0.3">
      <c r="A128" s="71" t="s">
        <v>57</v>
      </c>
      <c r="B128" s="137" t="s">
        <v>115</v>
      </c>
      <c r="C128" s="135"/>
      <c r="D128" s="135"/>
      <c r="E128" s="135"/>
      <c r="F128" s="136"/>
      <c r="G128" s="137" t="s">
        <v>116</v>
      </c>
      <c r="H128" s="135"/>
      <c r="I128" s="136"/>
      <c r="J128" s="73" t="s">
        <v>117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ht="15.6" x14ac:dyDescent="0.3">
      <c r="A129" s="75">
        <v>1</v>
      </c>
      <c r="B129" s="139" t="s">
        <v>162</v>
      </c>
      <c r="C129" s="135"/>
      <c r="D129" s="135"/>
      <c r="E129" s="135"/>
      <c r="F129" s="136"/>
      <c r="G129" s="138" t="s">
        <v>120</v>
      </c>
      <c r="H129" s="135"/>
      <c r="I129" s="136"/>
      <c r="J129" s="77">
        <f>((COUNTIF(Data!$AP$2:$AP$500,1)*1)+(COUNTIF(Data!$AP$2:$AP$500,2)*2)+(COUNTIF(Data!$AP$2:$AP$500,3)*3)+(COUNTIF(Data!$AP$2:$AP$500,4)*4)+(COUNTIF(Data!$AP$2:$AP$500,5)*5))/(COUNTIF(Data!$AP$2:$AP$500,1)+COUNTIF(Data!$AP$2:$AP$500,2)+COUNTIF(Data!$AP$2:$AP$500,3)+COUNTIF(Data!$AP$2:$AP$500,4)+COUNTIF(Data!$AP$2:$AP$500,5))</f>
        <v>4.7142857142857144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ht="15.6" x14ac:dyDescent="0.3">
      <c r="A130" s="78">
        <v>2</v>
      </c>
      <c r="B130" s="139" t="s">
        <v>163</v>
      </c>
      <c r="C130" s="135"/>
      <c r="D130" s="135"/>
      <c r="E130" s="135"/>
      <c r="F130" s="136"/>
      <c r="G130" s="138" t="s">
        <v>120</v>
      </c>
      <c r="H130" s="135"/>
      <c r="I130" s="136"/>
      <c r="J130" s="77">
        <f>((COUNTIF(Data!$AQ$2:$AQ$500,1)*1)+(COUNTIF(Data!$AQ$2:$AQ$500,2)*2)+(COUNTIF(Data!$AQ$2:$AQ$500,3)*3)+(COUNTIF(Data!$AQ$2:$AQ$500,4)*4)+(COUNTIF(Data!$AQ$2:$AQ$500,5)*5))/(COUNTIF(Data!$AQ$2:$AQ$500,1)+COUNTIF(Data!$AQ$2:$AQ$500,2)+COUNTIF(Data!$AQ$2:$AQ$500,3)+COUNTIF(Data!$AQ$2:$AQ$500,4)+COUNTIF(Data!$AQ$2:$AQ$500,5))</f>
        <v>4.7142857142857144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ht="15.6" x14ac:dyDescent="0.3">
      <c r="A131" s="75">
        <v>3</v>
      </c>
      <c r="B131" s="139" t="s">
        <v>164</v>
      </c>
      <c r="C131" s="135"/>
      <c r="D131" s="135"/>
      <c r="E131" s="135"/>
      <c r="F131" s="136"/>
      <c r="G131" s="138" t="s">
        <v>120</v>
      </c>
      <c r="H131" s="135"/>
      <c r="I131" s="136"/>
      <c r="J131" s="77">
        <f>((COUNTIF(Data!$AR$2:$AR$500,1)*1)+(COUNTIF(Data!$AR$2:$AR$500,2)*2)+(COUNTIF(Data!$AR$2:$AR$500,3)*3)+(COUNTIF(Data!$AR$2:$AR$500,4)*4)+(COUNTIF(Data!$AR$2:$AR$500,5)*5))/(COUNTIF(Data!$AR$2:$AR$500,1)+COUNTIF(Data!$AR$2:$AR$500,2)+COUNTIF(Data!$AR$2:$AR$500,3)+COUNTIF(Data!$AR$2:$AR$500,4)+COUNTIF(Data!$AR$2:$AR$500,5))</f>
        <v>4.5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ht="15.6" x14ac:dyDescent="0.3">
      <c r="A132" s="78">
        <v>4</v>
      </c>
      <c r="B132" s="139" t="s">
        <v>165</v>
      </c>
      <c r="C132" s="135"/>
      <c r="D132" s="135"/>
      <c r="E132" s="135"/>
      <c r="F132" s="136"/>
      <c r="G132" s="138" t="s">
        <v>120</v>
      </c>
      <c r="H132" s="135"/>
      <c r="I132" s="136"/>
      <c r="J132" s="77">
        <f>((COUNTIF(Data!$AS$2:$AS$500,1)*1)+(COUNTIF(Data!$AS$2:$AS$500,2)*2)+(COUNTIF(Data!$AS$2:$AS$500,3)*3)+(COUNTIF(Data!$AS$2:$AS$500,4)*4)+(COUNTIF(Data!$AS$2:$AS$500,5)*5))/(COUNTIF(Data!$AS$2:$AS$500,1)+COUNTIF(Data!$AS$2:$AS$500,2)+COUNTIF(Data!$AS$2:$AS$500,3)+COUNTIF(Data!$AS$2:$AS$500,4)+COUNTIF(Data!$AS$2:$AS$500,5))</f>
        <v>4.4444444444444446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ht="15.6" x14ac:dyDescent="0.3">
      <c r="A133" s="80"/>
      <c r="B133" s="145" t="s">
        <v>136</v>
      </c>
      <c r="C133" s="135"/>
      <c r="D133" s="135"/>
      <c r="E133" s="135"/>
      <c r="F133" s="136"/>
      <c r="G133" s="138"/>
      <c r="H133" s="135"/>
      <c r="I133" s="136"/>
      <c r="J133" s="81">
        <f>AVERAGE(J129:J132)</f>
        <v>4.5932539682539684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ht="17.399999999999999" x14ac:dyDescent="0.3">
      <c r="B136" s="70" t="s">
        <v>166</v>
      </c>
      <c r="C136" s="65"/>
      <c r="D136" s="65"/>
      <c r="E136" s="65"/>
      <c r="F136" s="65"/>
      <c r="G136" s="1"/>
      <c r="H136" s="1"/>
      <c r="I136" s="1"/>
      <c r="J136" s="1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ht="31.2" x14ac:dyDescent="0.3">
      <c r="A137" s="71" t="s">
        <v>57</v>
      </c>
      <c r="B137" s="137" t="s">
        <v>115</v>
      </c>
      <c r="C137" s="135"/>
      <c r="D137" s="135"/>
      <c r="E137" s="135"/>
      <c r="F137" s="136"/>
      <c r="G137" s="137" t="s">
        <v>116</v>
      </c>
      <c r="H137" s="135"/>
      <c r="I137" s="136"/>
      <c r="J137" s="73" t="s">
        <v>117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ht="15.6" x14ac:dyDescent="0.3">
      <c r="A138" s="75">
        <v>1</v>
      </c>
      <c r="B138" s="139" t="s">
        <v>167</v>
      </c>
      <c r="C138" s="135"/>
      <c r="D138" s="135"/>
      <c r="E138" s="135"/>
      <c r="F138" s="136"/>
      <c r="G138" s="138" t="s">
        <v>120</v>
      </c>
      <c r="H138" s="135"/>
      <c r="I138" s="136"/>
      <c r="J138" s="77">
        <f>((COUNTIF(Data!$AT$2:$AT$500,1)*1)+(COUNTIF(Data!$AT$2:$AT$500,2)*2)+(COUNTIF(Data!$AT$2:$AT$500,3)*3)+(COUNTIF(Data!$AT$2:$AT$500,4)*4)+(COUNTIF(Data!$AT$2:$AT$500,5)*5))/(COUNTIF(Data!$AT$2:$AT$500,1)+COUNTIF(Data!$AT$2:$AT$500,2)+COUNTIF(Data!$AT$2:$AT$500,3)+COUNTIF(Data!$AT$2:$AT$500,4)+COUNTIF(Data!$AT$2:$AT$500,5))</f>
        <v>4.4230769230769234</v>
      </c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ht="15.6" x14ac:dyDescent="0.3">
      <c r="A139" s="78">
        <v>2</v>
      </c>
      <c r="B139" s="139" t="s">
        <v>168</v>
      </c>
      <c r="C139" s="135"/>
      <c r="D139" s="135"/>
      <c r="E139" s="135"/>
      <c r="F139" s="136"/>
      <c r="G139" s="138" t="s">
        <v>120</v>
      </c>
      <c r="H139" s="135"/>
      <c r="I139" s="136"/>
      <c r="J139" s="77">
        <f>((COUNTIF(Data!$AU$2:$AU$500,1)*1)+(COUNTIF(Data!$AU$2:$AU$500,2)*2)+(COUNTIF(Data!$AU$2:$AU$500,3)*3)+(COUNTIF(Data!$AU$2:$AU$500,4)*4)+(COUNTIF(Data!$AU$2:$AU$500,5)*5))/(COUNTIF(Data!$AU$2:$AU$500,1)+COUNTIF(Data!$AU$2:$AU$500,2)+COUNTIF(Data!$AU$2:$AU$500,3)+COUNTIF(Data!$AU$2:$AU$500,4)+COUNTIF(Data!$AU$2:$AU$500,5))</f>
        <v>4.9642857142857144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ht="15.6" x14ac:dyDescent="0.3">
      <c r="A140" s="75">
        <v>3</v>
      </c>
      <c r="B140" s="139" t="s">
        <v>169</v>
      </c>
      <c r="C140" s="135"/>
      <c r="D140" s="135"/>
      <c r="E140" s="135"/>
      <c r="F140" s="136"/>
      <c r="G140" s="138" t="s">
        <v>120</v>
      </c>
      <c r="H140" s="135"/>
      <c r="I140" s="136"/>
      <c r="J140" s="77">
        <f>((COUNTIF(Data!$AV$2:$AV$500,1)*1)+(COUNTIF(Data!$AV$2:$AV$500,2)*2)+(COUNTIF(Data!$AV$2:$AV$500,3)*3)+(COUNTIF(Data!$AV$2:$AV$500,4)*4)+(COUNTIF(Data!$AV$2:$AV$500,5)*5))/(COUNTIF(Data!$AV$2:$AV$500,1)+COUNTIF(Data!$AV$2:$AV$500,2)+COUNTIF(Data!$AV$2:$AV$500,3)+COUNTIF(Data!$AV$2:$AV$500,4)+COUNTIF(Data!$AV$2:$AV$500,5))</f>
        <v>4.9629629629629628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ht="15.6" x14ac:dyDescent="0.3">
      <c r="A141" s="78">
        <v>4</v>
      </c>
      <c r="B141" s="139" t="s">
        <v>170</v>
      </c>
      <c r="C141" s="135"/>
      <c r="D141" s="135"/>
      <c r="E141" s="135"/>
      <c r="F141" s="136"/>
      <c r="G141" s="138" t="s">
        <v>120</v>
      </c>
      <c r="H141" s="135"/>
      <c r="I141" s="136"/>
      <c r="J141" s="77">
        <f>((COUNTIF(Data!$AW$2:$AW$500,1)*1)+(COUNTIF(Data!$AW$2:$AW$500,2)*2)+(COUNTIF(Data!$AW$2:$AW$500,3)*3)+(COUNTIF(Data!$AW$2:$AW$500,4)*4)+(COUNTIF(Data!$AW$2:$AW$500,5)*5))/(COUNTIF(Data!$AW$2:$AW$500,1)+COUNTIF(Data!$AW$2:$AW$500,2)+COUNTIF(Data!$AW$2:$AW$500,3)+COUNTIF(Data!$AW$2:$AW$500,4)+COUNTIF(Data!$AW$2:$AW$500,5))</f>
        <v>4.7407407407407405</v>
      </c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ht="15.6" x14ac:dyDescent="0.3">
      <c r="A142" s="78">
        <v>5</v>
      </c>
      <c r="B142" s="139" t="s">
        <v>171</v>
      </c>
      <c r="C142" s="135"/>
      <c r="D142" s="135"/>
      <c r="E142" s="135"/>
      <c r="F142" s="136"/>
      <c r="G142" s="138" t="s">
        <v>120</v>
      </c>
      <c r="H142" s="135"/>
      <c r="I142" s="136"/>
      <c r="J142" s="77">
        <f>((COUNTIF(Data!$AX$2:$AX$500,1)*1)+(COUNTIF(Data!$AX$2:$AX$500,2)*2)+(COUNTIF(Data!$AX$2:$AX$500,3)*3)+(COUNTIF(Data!$AX$2:$AX$500,4)*4)+(COUNTIF(Data!$AX$2:$AX$500,5)*5))/(COUNTIF(Data!$AX$2:$AX$500,1)+COUNTIF(Data!$AX$2:$AX$500,2)+COUNTIF(Data!$AX$2:$AX$500,3)+COUNTIF(Data!$AX$2:$AX$500,4)+COUNTIF(Data!$AX$2:$AX$500,5))</f>
        <v>4.8888888888888893</v>
      </c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ht="15.6" x14ac:dyDescent="0.3">
      <c r="A143" s="80"/>
      <c r="B143" s="145" t="s">
        <v>136</v>
      </c>
      <c r="C143" s="135"/>
      <c r="D143" s="135"/>
      <c r="E143" s="135"/>
      <c r="F143" s="136"/>
      <c r="G143" s="138"/>
      <c r="H143" s="135"/>
      <c r="I143" s="136"/>
      <c r="J143" s="81">
        <f>AVERAGE(J138:J142)</f>
        <v>4.7959910459910464</v>
      </c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ht="13.8" x14ac:dyDescent="0.3">
      <c r="B146" s="159" t="s">
        <v>172</v>
      </c>
      <c r="C146" s="143"/>
      <c r="D146" s="143"/>
      <c r="E146" s="143"/>
      <c r="F146" s="143"/>
      <c r="G146" s="143"/>
      <c r="H146" s="143"/>
      <c r="I146" s="143"/>
      <c r="J146" s="14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ht="31.2" x14ac:dyDescent="0.3">
      <c r="A147" s="71" t="s">
        <v>57</v>
      </c>
      <c r="B147" s="137" t="s">
        <v>115</v>
      </c>
      <c r="C147" s="135"/>
      <c r="D147" s="135"/>
      <c r="E147" s="135"/>
      <c r="F147" s="136"/>
      <c r="G147" s="137" t="s">
        <v>116</v>
      </c>
      <c r="H147" s="135"/>
      <c r="I147" s="136"/>
      <c r="J147" s="73" t="s">
        <v>117</v>
      </c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ht="15.6" x14ac:dyDescent="0.3">
      <c r="A148" s="75">
        <v>1</v>
      </c>
      <c r="B148" s="139" t="s">
        <v>173</v>
      </c>
      <c r="C148" s="135"/>
      <c r="D148" s="135"/>
      <c r="E148" s="135"/>
      <c r="F148" s="136"/>
      <c r="G148" s="138" t="s">
        <v>174</v>
      </c>
      <c r="H148" s="135"/>
      <c r="I148" s="136"/>
      <c r="J148" s="91">
        <f>COUNTIF(Data!$L$2:$L$500,"Один раз")+COUNTIF(Data!$L$2:$L$500,"2–5 разів")+COUNTIF(Data!$L$2:$L$500,"6 разів і більше")</f>
        <v>24</v>
      </c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ht="15.6" x14ac:dyDescent="0.3">
      <c r="A149" s="78">
        <v>2</v>
      </c>
      <c r="B149" s="139" t="s">
        <v>175</v>
      </c>
      <c r="C149" s="135"/>
      <c r="D149" s="135"/>
      <c r="E149" s="135"/>
      <c r="F149" s="136"/>
      <c r="G149" s="76" t="s">
        <v>18</v>
      </c>
      <c r="H149" s="92">
        <f>COUNTIF(Data!$AY$2:$AY$500,1)/(COUNTIF(Data!$AY$2:$AY$500,1)+COUNTIF(Data!$AY$2:$AY$500,2))</f>
        <v>0.75</v>
      </c>
      <c r="I149" s="93" t="s">
        <v>20</v>
      </c>
      <c r="J149" s="94">
        <f>COUNTIF(Data!$AY$2:$AY$500,2)/(COUNTIF(Data!$AY$2:$AY$500,1)+COUNTIF(Data!$AY$2:$AY$500,2))</f>
        <v>0.25</v>
      </c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ht="15.6" x14ac:dyDescent="0.3">
      <c r="A150" s="75">
        <v>3</v>
      </c>
      <c r="B150" s="139" t="s">
        <v>176</v>
      </c>
      <c r="C150" s="135"/>
      <c r="D150" s="135"/>
      <c r="E150" s="135"/>
      <c r="F150" s="136"/>
      <c r="G150" s="76" t="s">
        <v>18</v>
      </c>
      <c r="H150" s="92">
        <f>COUNTIF(Data!$BA$2:$BA$500,1)/(COUNTIF(Data!$BA$2:$BA$500,1)+COUNTIF(Data!$BA$2:$BA$500,2))</f>
        <v>0.95454545454545459</v>
      </c>
      <c r="I150" s="93" t="s">
        <v>20</v>
      </c>
      <c r="J150" s="94">
        <f>COUNTIF(Data!$BA$2:$BA$500,2)/(COUNTIF(Data!$BA$2:$BA$500,1)+COUNTIF(Data!$BA$2:$BA$500,2))</f>
        <v>4.5454545454545456E-2</v>
      </c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ht="15.6" x14ac:dyDescent="0.3">
      <c r="A151" s="78">
        <v>4</v>
      </c>
      <c r="B151" s="139" t="s">
        <v>177</v>
      </c>
      <c r="C151" s="135"/>
      <c r="D151" s="135"/>
      <c r="E151" s="135"/>
      <c r="F151" s="136"/>
      <c r="G151" s="76" t="s">
        <v>18</v>
      </c>
      <c r="H151" s="92">
        <f>COUNTIF(Data!$BB$2:$BB$500,1)/(COUNTIF(Data!$BB$2:$BB$500,1)+COUNTIF(Data!$BB$2:$BB$500,2))</f>
        <v>0.75</v>
      </c>
      <c r="I151" s="93" t="s">
        <v>20</v>
      </c>
      <c r="J151" s="94">
        <f>COUNTIF(Data!$BB$2:$BB$500,2)/(COUNTIF(Data!$BB$2:$BB$500,1)+COUNTIF(Data!$BB$2:$BB$500,2))</f>
        <v>0.25</v>
      </c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ht="15.6" x14ac:dyDescent="0.3">
      <c r="A152" s="75">
        <v>5</v>
      </c>
      <c r="B152" s="139" t="s">
        <v>178</v>
      </c>
      <c r="C152" s="135"/>
      <c r="D152" s="135"/>
      <c r="E152" s="135"/>
      <c r="F152" s="136"/>
      <c r="G152" s="138" t="s">
        <v>120</v>
      </c>
      <c r="H152" s="135"/>
      <c r="I152" s="136"/>
      <c r="J152" s="95">
        <f>((COUNTIF(Data!$BC$2:$BC$500,1)*1)+(COUNTIF(Data!$BC$2:$BC$500,2)*2)+(COUNTIF(Data!$BC$2:$BC$500,3)*3)+(COUNTIF(Data!$BC$2:$BC$500,4)*4)+(COUNTIF(Data!$BC$2:$BC$500,5)*5))/(COUNTIF(Data!$BC$2:$BC$500,1)+COUNTIF(Data!$BC$2:$BC$500,2)+COUNTIF(Data!$BC$2:$BC$500,3)+COUNTIF(Data!$BC$2:$BC$500,4)+COUNTIF(Data!$BC$2:$BC$500,5))</f>
        <v>4.8695652173913047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ht="15.6" x14ac:dyDescent="0.3">
      <c r="A153" s="78">
        <v>6</v>
      </c>
      <c r="B153" s="139" t="s">
        <v>179</v>
      </c>
      <c r="C153" s="135"/>
      <c r="D153" s="135"/>
      <c r="E153" s="135"/>
      <c r="F153" s="136"/>
      <c r="G153" s="138" t="s">
        <v>120</v>
      </c>
      <c r="H153" s="135"/>
      <c r="I153" s="136"/>
      <c r="J153" s="95">
        <f>((COUNTIF(Data!$BD$2:$BD$500,1)*1)+(COUNTIF(Data!$BD$2:$BD$500,2)*2)+(COUNTIF(Data!$BD$2:$BD$500,3)*3)+(COUNTIF(Data!$BD$2:$BD$500,4)*4)+(COUNTIF(Data!$BD$2:$BD$500,5)*5))/(COUNTIF(Data!$BD$2:$BD$500,1)+COUNTIF(Data!$BD$2:$BD$500,2)+COUNTIF(Data!$BD$2:$BD$500,3)+COUNTIF(Data!$BD$2:$BD$500,4)+COUNTIF(Data!$BD$2:$BD$500,5))</f>
        <v>4.6521739130434785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ht="15.6" x14ac:dyDescent="0.3">
      <c r="A154" s="75">
        <v>7</v>
      </c>
      <c r="B154" s="139" t="s">
        <v>180</v>
      </c>
      <c r="C154" s="135"/>
      <c r="D154" s="135"/>
      <c r="E154" s="135"/>
      <c r="F154" s="136"/>
      <c r="G154" s="138" t="s">
        <v>181</v>
      </c>
      <c r="H154" s="135"/>
      <c r="I154" s="136"/>
      <c r="J154" s="95">
        <f>((SUMIFS(Data!$BE$2:$BE$500,Data!$L$2:$L$500,"Один раз"))+(SUMIFS(Data!$BE$2:$BE$500,Data!$L$2:$L$500,"2–5 разів"))+(SUMIFS(Data!$BE$2:$BE$500,Data!$L$2:$L$500,"6 разів і більше")))/$J$148</f>
        <v>2.7083333333333335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ht="15.6" x14ac:dyDescent="0.3">
      <c r="A155" s="78">
        <v>8</v>
      </c>
      <c r="B155" s="139" t="s">
        <v>182</v>
      </c>
      <c r="C155" s="135"/>
      <c r="D155" s="135"/>
      <c r="E155" s="135"/>
      <c r="F155" s="136"/>
      <c r="G155" s="138" t="s">
        <v>181</v>
      </c>
      <c r="H155" s="135"/>
      <c r="I155" s="136"/>
      <c r="J155" s="96">
        <f>SUM(Data!$BF$2:$BF$500)/$J$148</f>
        <v>8.3333333333333329E-2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ht="15.6" x14ac:dyDescent="0.3">
      <c r="A156" s="75">
        <v>9</v>
      </c>
      <c r="B156" s="139" t="s">
        <v>183</v>
      </c>
      <c r="C156" s="135"/>
      <c r="D156" s="135"/>
      <c r="E156" s="135"/>
      <c r="F156" s="136"/>
      <c r="G156" s="138" t="s">
        <v>181</v>
      </c>
      <c r="H156" s="135"/>
      <c r="I156" s="136"/>
      <c r="J156" s="96">
        <f>SUM(Data!$BG$2:$BG$500)/$J$148</f>
        <v>1.8333333333333333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ht="17.399999999999999" x14ac:dyDescent="0.3">
      <c r="B161" s="97" t="s">
        <v>184</v>
      </c>
      <c r="C161" s="5"/>
      <c r="D161" s="5"/>
      <c r="E161" s="5"/>
      <c r="F161" s="5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ht="13.8" x14ac:dyDescent="0.25">
      <c r="A162" s="10"/>
      <c r="B162" s="2"/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ht="13.8" x14ac:dyDescent="0.3">
      <c r="B163" s="142" t="s">
        <v>185</v>
      </c>
      <c r="C163" s="143"/>
      <c r="D163" s="143"/>
      <c r="E163" s="143"/>
      <c r="F163" s="143"/>
      <c r="G163" s="143"/>
      <c r="H163" s="143"/>
      <c r="I163" s="143"/>
      <c r="J163" s="14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ht="13.8" x14ac:dyDescent="0.25">
      <c r="B164" s="12"/>
      <c r="C164" s="13" t="s">
        <v>4</v>
      </c>
      <c r="D164" s="15" t="s">
        <v>5</v>
      </c>
      <c r="E164" s="1"/>
      <c r="F164" s="1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ht="13.8" x14ac:dyDescent="0.25">
      <c r="B165" s="16" t="s">
        <v>18</v>
      </c>
      <c r="C165" s="18">
        <f>COUNTIF(Data!BI$2:BI$500,1)</f>
        <v>23</v>
      </c>
      <c r="D165" s="20">
        <f>C165/COUNT(Data!$A$2:$A$500)</f>
        <v>0.76666666666666672</v>
      </c>
      <c r="E165" s="1"/>
      <c r="F165" s="1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ht="13.8" x14ac:dyDescent="0.25">
      <c r="B166" s="16" t="s">
        <v>20</v>
      </c>
      <c r="C166" s="18">
        <f>COUNTIF(Data!BI$2:BI$500,2)</f>
        <v>0</v>
      </c>
      <c r="D166" s="20">
        <f>C166/COUNT(Data!$A$2:$A$500)</f>
        <v>0</v>
      </c>
      <c r="E166" s="1"/>
      <c r="F166" s="1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ht="13.8" x14ac:dyDescent="0.25">
      <c r="B167" s="16" t="s">
        <v>186</v>
      </c>
      <c r="C167" s="18">
        <f>COUNTIF(Data!BI$2:BI$500,9)</f>
        <v>7</v>
      </c>
      <c r="D167" s="20">
        <f>C167/COUNT(Data!$A$2:$A$500)</f>
        <v>0.23333333333333334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ht="13.8" x14ac:dyDescent="0.3">
      <c r="A169" s="3"/>
      <c r="B169" s="142" t="s">
        <v>187</v>
      </c>
      <c r="C169" s="143"/>
      <c r="D169" s="143"/>
      <c r="E169" s="143"/>
      <c r="F169" s="143"/>
      <c r="G169" s="14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  <row r="170" spans="1:30" ht="13.8" x14ac:dyDescent="0.25">
      <c r="A170" s="3"/>
      <c r="B170" s="12"/>
      <c r="C170" s="36" t="s">
        <v>4</v>
      </c>
      <c r="D170" s="37" t="s">
        <v>5</v>
      </c>
      <c r="E170" s="2"/>
      <c r="F170" s="1"/>
      <c r="G170" s="1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</row>
    <row r="171" spans="1:30" ht="15" x14ac:dyDescent="0.25">
      <c r="A171" s="3"/>
      <c r="B171" s="98" t="s">
        <v>188</v>
      </c>
      <c r="C171" s="18">
        <f>COUNTIF(Data!BJ$2:BJ$500,"Кращі, ніж очікував (-ла)")</f>
        <v>7</v>
      </c>
      <c r="D171" s="99">
        <f>C171/COUNT(Data!$A$2:$A$500)</f>
        <v>0.23333333333333334</v>
      </c>
      <c r="E171" s="2"/>
      <c r="F171" s="1"/>
      <c r="G171" s="1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</row>
    <row r="172" spans="1:30" ht="15" x14ac:dyDescent="0.25">
      <c r="A172" s="3"/>
      <c r="B172" s="98" t="s">
        <v>189</v>
      </c>
      <c r="C172" s="18">
        <f>COUNTIF(Data!BJ$2:BJ$500,"Гірші, ніж очікував (-ла)")</f>
        <v>1</v>
      </c>
      <c r="D172" s="99">
        <f>C172/COUNT(Data!$A$2:$A$500)</f>
        <v>3.3333333333333333E-2</v>
      </c>
      <c r="E172" s="2"/>
      <c r="F172" s="1"/>
      <c r="G172" s="1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</row>
    <row r="173" spans="1:30" ht="15" x14ac:dyDescent="0.25">
      <c r="A173" s="3"/>
      <c r="B173" s="98" t="s">
        <v>190</v>
      </c>
      <c r="C173" s="18">
        <f>COUNTIF(Data!BJ$2:BJ$500,"Відповідають очікуванням")</f>
        <v>22</v>
      </c>
      <c r="D173" s="99">
        <f>C173/COUNT(Data!$A$2:$A$500)</f>
        <v>0.73333333333333328</v>
      </c>
      <c r="E173" s="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</row>
    <row r="174" spans="1:30" ht="15.6" x14ac:dyDescent="0.25">
      <c r="A174" s="3"/>
      <c r="B174" s="100" t="s">
        <v>186</v>
      </c>
      <c r="C174" s="18">
        <f>COUNTIF(Data!BJ$2:BJ$500,"КН")</f>
        <v>0</v>
      </c>
      <c r="D174" s="99">
        <f>C174/COUNT(Data!$A$2:$A$500)</f>
        <v>0</v>
      </c>
      <c r="E174" s="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</row>
    <row r="175" spans="1:30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</row>
    <row r="176" spans="1:30" ht="13.8" x14ac:dyDescent="0.3">
      <c r="A176" s="3"/>
      <c r="B176" s="142" t="s">
        <v>191</v>
      </c>
      <c r="C176" s="143"/>
      <c r="D176" s="143"/>
      <c r="E176" s="143"/>
      <c r="F176" s="14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</row>
    <row r="177" spans="1:30" ht="13.8" x14ac:dyDescent="0.25">
      <c r="A177" s="3"/>
      <c r="B177" s="12"/>
      <c r="C177" s="36" t="s">
        <v>4</v>
      </c>
      <c r="D177" s="37" t="s">
        <v>5</v>
      </c>
      <c r="E177" s="2"/>
      <c r="F177" s="1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</row>
    <row r="178" spans="1:30" ht="15" x14ac:dyDescent="0.25">
      <c r="A178" s="3"/>
      <c r="B178" s="98" t="s">
        <v>192</v>
      </c>
      <c r="C178" s="18">
        <f>COUNTIF(Data!$BK$2:$BK$500,"Покращилась значно")</f>
        <v>14</v>
      </c>
      <c r="D178" s="99">
        <f>C178/COUNT(Data!$A$2:$A$500)</f>
        <v>0.46666666666666667</v>
      </c>
      <c r="E178" s="2"/>
      <c r="F178" s="1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</row>
    <row r="179" spans="1:30" ht="15" x14ac:dyDescent="0.25">
      <c r="A179" s="3"/>
      <c r="B179" s="98" t="s">
        <v>193</v>
      </c>
      <c r="C179" s="18">
        <f>COUNTIF(Data!$BK$2:$BK$500,"Покращилась несуттєво")</f>
        <v>4</v>
      </c>
      <c r="D179" s="99">
        <f>C179/COUNT(Data!$A$2:$A$500)</f>
        <v>0.13333333333333333</v>
      </c>
      <c r="E179" s="2"/>
      <c r="F179" s="1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</row>
    <row r="180" spans="1:30" ht="15" x14ac:dyDescent="0.25">
      <c r="A180" s="3"/>
      <c r="B180" s="98" t="s">
        <v>194</v>
      </c>
      <c r="C180" s="18">
        <f>COUNTIF(Data!$BK$2:$BK$500,"Залишилась без змін")</f>
        <v>6</v>
      </c>
      <c r="D180" s="99">
        <f>C180/COUNT(Data!$A$2:$A$500)</f>
        <v>0.2</v>
      </c>
      <c r="E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</row>
    <row r="181" spans="1:30" ht="15" x14ac:dyDescent="0.25">
      <c r="A181" s="3"/>
      <c r="B181" s="98" t="s">
        <v>195</v>
      </c>
      <c r="C181" s="18">
        <f>COUNTIF(Data!$BK$2:$BK$500,"Дещо погіршилася")</f>
        <v>0</v>
      </c>
      <c r="D181" s="99">
        <f>C181/COUNT(Data!$A$2:$A$500)</f>
        <v>0</v>
      </c>
      <c r="E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</row>
    <row r="182" spans="1:30" ht="15" x14ac:dyDescent="0.25">
      <c r="A182" s="3"/>
      <c r="B182" s="98" t="s">
        <v>196</v>
      </c>
      <c r="C182" s="18">
        <f>COUNTIF(Data!$BK$2:$BK$500,"Значно погіршилася")</f>
        <v>0</v>
      </c>
      <c r="D182" s="99">
        <f>C182/COUNT(Data!$A$2:$A$500)</f>
        <v>0</v>
      </c>
      <c r="E182" s="1"/>
      <c r="F182" s="1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</row>
    <row r="183" spans="1:30" ht="15" x14ac:dyDescent="0.25">
      <c r="A183" s="3"/>
      <c r="B183" s="98" t="s">
        <v>197</v>
      </c>
      <c r="C183" s="18">
        <f>COUNTIF(Data!$BK$2:$BK$500,"Важко сказати")</f>
        <v>3</v>
      </c>
      <c r="D183" s="99">
        <f>C183/COUNT(Data!$A$2:$A$500)</f>
        <v>0.1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</row>
    <row r="184" spans="1:30" ht="15.6" x14ac:dyDescent="0.25">
      <c r="A184" s="3"/>
      <c r="B184" s="100" t="s">
        <v>186</v>
      </c>
      <c r="C184" s="18">
        <f>COUNTIF(Data!$BK$2:$BK$500,"КН")</f>
        <v>3</v>
      </c>
      <c r="D184" s="99">
        <f>C184/COUNT(Data!$A$2:$A$500)</f>
        <v>0.1</v>
      </c>
      <c r="E184" s="1"/>
      <c r="F184" s="1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</row>
    <row r="185" spans="1:30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</row>
    <row r="186" spans="1:30" ht="13.8" x14ac:dyDescent="0.3">
      <c r="A186" s="3"/>
      <c r="B186" s="142" t="s">
        <v>198</v>
      </c>
      <c r="C186" s="143"/>
      <c r="D186" s="143"/>
      <c r="E186" s="143"/>
      <c r="F186" s="14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</row>
    <row r="187" spans="1:30" ht="13.8" x14ac:dyDescent="0.25">
      <c r="A187" s="3"/>
      <c r="B187" s="12"/>
      <c r="C187" s="13" t="s">
        <v>4</v>
      </c>
      <c r="D187" s="15" t="s">
        <v>5</v>
      </c>
      <c r="E187" s="2"/>
      <c r="F187" s="1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</row>
    <row r="188" spans="1:30" ht="13.8" x14ac:dyDescent="0.25">
      <c r="A188" s="3"/>
      <c r="B188" s="16" t="s">
        <v>18</v>
      </c>
      <c r="C188" s="18">
        <f>COUNTIF(Data!BL$2:BL$500,"Так")</f>
        <v>18</v>
      </c>
      <c r="D188" s="20">
        <f>C188/COUNT(Data!$A$2:$A$500)</f>
        <v>0.6</v>
      </c>
      <c r="E188" s="2"/>
      <c r="F188" s="1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</row>
    <row r="189" spans="1:30" ht="13.8" x14ac:dyDescent="0.25">
      <c r="A189" s="3"/>
      <c r="B189" s="16" t="s">
        <v>20</v>
      </c>
      <c r="C189" s="18">
        <f>COUNTIF(Data!BL$2:BL$500,"Ні")</f>
        <v>10</v>
      </c>
      <c r="D189" s="20">
        <f>C189/COUNT(Data!$A$2:$A$500)</f>
        <v>0.33333333333333331</v>
      </c>
      <c r="E189" s="2"/>
      <c r="F189" s="1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</row>
    <row r="190" spans="1:30" ht="15.6" x14ac:dyDescent="0.25">
      <c r="A190" s="3"/>
      <c r="B190" s="100" t="s">
        <v>186</v>
      </c>
      <c r="C190" s="18">
        <f>COUNTIF(Data!BL$2:BL$500,"КН")</f>
        <v>2</v>
      </c>
      <c r="D190" s="20">
        <f>C190/COUNT(Data!$A$2:$A$500)</f>
        <v>6.6666666666666666E-2</v>
      </c>
      <c r="E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</row>
    <row r="191" spans="1:30" ht="13.2" x14ac:dyDescent="0.25">
      <c r="A191" s="3"/>
      <c r="B191" s="1"/>
      <c r="C191" s="1"/>
      <c r="D191" s="25"/>
      <c r="F191" s="1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</row>
    <row r="192" spans="1:30" ht="13.8" x14ac:dyDescent="0.3">
      <c r="A192" s="3"/>
      <c r="B192" s="142" t="s">
        <v>199</v>
      </c>
      <c r="C192" s="143"/>
      <c r="D192" s="143"/>
      <c r="E192" s="143"/>
      <c r="F192" s="14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</row>
    <row r="193" spans="1:30" ht="13.8" x14ac:dyDescent="0.25">
      <c r="A193" s="3"/>
      <c r="B193" s="12"/>
      <c r="C193" s="13" t="s">
        <v>4</v>
      </c>
      <c r="D193" s="15" t="s">
        <v>5</v>
      </c>
      <c r="E193" s="2"/>
      <c r="F193" s="1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</row>
    <row r="194" spans="1:30" ht="13.8" x14ac:dyDescent="0.25">
      <c r="A194" s="3"/>
      <c r="B194" s="16" t="s">
        <v>18</v>
      </c>
      <c r="C194" s="18">
        <f>COUNTIF(Data!$BM$2:$BM$500,"Так")</f>
        <v>1</v>
      </c>
      <c r="D194" s="20">
        <f>C194/COUNT(Data!$A$2:$A$500)</f>
        <v>3.3333333333333333E-2</v>
      </c>
      <c r="E194" s="2"/>
      <c r="F194" s="1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</row>
    <row r="195" spans="1:30" ht="13.8" x14ac:dyDescent="0.25">
      <c r="A195" s="3"/>
      <c r="B195" s="16" t="s">
        <v>20</v>
      </c>
      <c r="C195" s="18">
        <f>COUNTIF(Data!$BM$2:$BM$500,"Ні")</f>
        <v>22</v>
      </c>
      <c r="D195" s="20">
        <f>C195/COUNT(Data!$A$2:$A$500)</f>
        <v>0.73333333333333328</v>
      </c>
      <c r="E195" s="2"/>
      <c r="F195" s="1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</row>
    <row r="196" spans="1:30" ht="15.6" x14ac:dyDescent="0.25">
      <c r="A196" s="3"/>
      <c r="B196" s="100" t="s">
        <v>186</v>
      </c>
      <c r="C196" s="18">
        <f>COUNTIF(Data!$BM$2:$BM$500,"КН")</f>
        <v>7</v>
      </c>
      <c r="D196" s="20">
        <f>C196/COUNT(Data!$A$2:$A$500)</f>
        <v>0.23333333333333334</v>
      </c>
      <c r="E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</row>
    <row r="197" spans="1:30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</row>
    <row r="198" spans="1:30" ht="15.6" x14ac:dyDescent="0.3">
      <c r="A198" s="3"/>
      <c r="B198" s="160" t="s">
        <v>200</v>
      </c>
      <c r="C198" s="135"/>
      <c r="D198" s="50" t="s">
        <v>4</v>
      </c>
      <c r="E198" s="1"/>
      <c r="F198" s="1"/>
      <c r="G198" s="1"/>
      <c r="H198" s="1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</row>
    <row r="199" spans="1:30" ht="15.6" x14ac:dyDescent="0.3">
      <c r="A199" s="3"/>
      <c r="B199" s="141">
        <v>5</v>
      </c>
      <c r="C199" s="135"/>
      <c r="D199" s="23">
        <f>COUNTIF(Data!BN$2:BN$500,5)</f>
        <v>1</v>
      </c>
      <c r="E199" s="1"/>
      <c r="F199" s="1"/>
      <c r="G199" s="1"/>
      <c r="H199" s="25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</row>
    <row r="200" spans="1:30" ht="15.6" x14ac:dyDescent="0.3">
      <c r="A200" s="3"/>
      <c r="B200" s="141">
        <v>4</v>
      </c>
      <c r="C200" s="135"/>
      <c r="D200" s="23">
        <f>COUNTIF(Data!BN$2:BN$500,4)</f>
        <v>0</v>
      </c>
      <c r="E200" s="1"/>
      <c r="F200" s="1"/>
      <c r="G200" s="1"/>
      <c r="H200" s="25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</row>
    <row r="201" spans="1:30" ht="15.6" x14ac:dyDescent="0.3">
      <c r="A201" s="3"/>
      <c r="B201" s="141">
        <v>3</v>
      </c>
      <c r="C201" s="135"/>
      <c r="D201" s="23">
        <f>COUNTIF(Data!BN$2:BN$500,3)</f>
        <v>0</v>
      </c>
      <c r="E201" s="1"/>
      <c r="F201" s="1"/>
      <c r="G201" s="1"/>
      <c r="H201" s="25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</row>
    <row r="202" spans="1:30" ht="15.6" x14ac:dyDescent="0.3">
      <c r="A202" s="3"/>
      <c r="B202" s="141">
        <v>2</v>
      </c>
      <c r="C202" s="135"/>
      <c r="D202" s="23">
        <f>COUNTIF(Data!BN$2:BN$500,2)</f>
        <v>0</v>
      </c>
      <c r="E202" s="1"/>
      <c r="F202" s="1"/>
      <c r="G202" s="1"/>
      <c r="H202" s="25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</row>
    <row r="203" spans="1:30" ht="15.6" x14ac:dyDescent="0.3">
      <c r="A203" s="3"/>
      <c r="B203" s="141">
        <v>1</v>
      </c>
      <c r="C203" s="135"/>
      <c r="D203" s="23">
        <f>COUNTIF(Data!BN$2:BN$500,1)</f>
        <v>0</v>
      </c>
      <c r="E203" s="1"/>
      <c r="F203" s="1"/>
      <c r="G203" s="1"/>
      <c r="H203" s="25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</row>
    <row r="204" spans="1:30" ht="15.6" x14ac:dyDescent="0.3">
      <c r="A204" s="3"/>
      <c r="B204" s="141" t="s">
        <v>186</v>
      </c>
      <c r="C204" s="135"/>
      <c r="D204" s="23">
        <f>COUNTIF(Data!BN$2:BN$500,9)</f>
        <v>28</v>
      </c>
      <c r="E204" s="1"/>
      <c r="F204" s="1"/>
      <c r="G204" s="1"/>
      <c r="H204" s="25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</row>
    <row r="205" spans="1:30" ht="15.6" x14ac:dyDescent="0.3">
      <c r="A205" s="3"/>
      <c r="B205" s="141" t="s">
        <v>71</v>
      </c>
      <c r="C205" s="135"/>
      <c r="D205" s="55">
        <f>((D199*5)+(D200*4)+(D201*3)+(D202*2)+(D203*1))/SUM(D199:D203)</f>
        <v>5</v>
      </c>
      <c r="E205" s="1"/>
      <c r="F205" s="1"/>
      <c r="G205" s="56"/>
      <c r="H205" s="1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</row>
    <row r="206" spans="1:30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</row>
    <row r="207" spans="1:30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</row>
    <row r="208" spans="1:30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</row>
    <row r="209" spans="1:30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</row>
    <row r="210" spans="1:30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</row>
    <row r="211" spans="1:30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</row>
    <row r="212" spans="1:30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</row>
    <row r="213" spans="1:30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</row>
    <row r="214" spans="1:30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</row>
    <row r="215" spans="1:30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</row>
    <row r="216" spans="1:30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</row>
    <row r="217" spans="1:30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</row>
    <row r="218" spans="1:30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</row>
    <row r="219" spans="1:30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</row>
    <row r="220" spans="1:30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</row>
    <row r="221" spans="1:30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</row>
    <row r="222" spans="1:30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</row>
    <row r="223" spans="1:30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</row>
    <row r="224" spans="1:30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</row>
    <row r="225" spans="1:30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</row>
    <row r="226" spans="1:30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</row>
    <row r="227" spans="1:30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</row>
    <row r="228" spans="1:30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</row>
    <row r="229" spans="1:30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</row>
    <row r="230" spans="1:30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</row>
    <row r="231" spans="1:30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</row>
    <row r="232" spans="1:30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</row>
    <row r="233" spans="1:30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</row>
    <row r="234" spans="1:30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</row>
    <row r="235" spans="1:30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</row>
    <row r="236" spans="1:30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</row>
    <row r="237" spans="1:30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</row>
    <row r="238" spans="1:30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</row>
    <row r="239" spans="1:30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</row>
    <row r="240" spans="1:30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</row>
    <row r="241" spans="1:30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</row>
    <row r="242" spans="1:30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</row>
    <row r="243" spans="1:30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</row>
    <row r="245" spans="1:30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</row>
    <row r="246" spans="1:30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</row>
    <row r="247" spans="1:30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</row>
    <row r="248" spans="1:30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</row>
    <row r="249" spans="1:30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</row>
    <row r="250" spans="1:30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</row>
    <row r="251" spans="1:30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</row>
    <row r="252" spans="1:30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</row>
    <row r="253" spans="1:30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</row>
    <row r="254" spans="1:30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  <row r="255" spans="1:30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</row>
    <row r="256" spans="1:30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</row>
    <row r="257" spans="1:30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</row>
    <row r="258" spans="1:30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</row>
    <row r="259" spans="1:30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</row>
    <row r="260" spans="1:30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</row>
    <row r="261" spans="1:30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</row>
    <row r="262" spans="1:30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</row>
    <row r="263" spans="1:30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</row>
    <row r="264" spans="1:30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</row>
    <row r="265" spans="1:30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</row>
    <row r="266" spans="1:30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</row>
    <row r="267" spans="1:30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</row>
    <row r="268" spans="1:30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</row>
    <row r="269" spans="1:30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</row>
    <row r="270" spans="1:30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</row>
    <row r="271" spans="1:30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</row>
    <row r="272" spans="1:30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</row>
    <row r="273" spans="1:30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</row>
    <row r="274" spans="1:30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</row>
    <row r="275" spans="1:30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</row>
    <row r="276" spans="1:30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</row>
    <row r="277" spans="1:30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</row>
    <row r="278" spans="1:30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</row>
    <row r="279" spans="1:30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</row>
    <row r="280" spans="1:30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</row>
    <row r="281" spans="1:30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</row>
    <row r="282" spans="1:30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</row>
    <row r="283" spans="1:30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</row>
    <row r="284" spans="1:30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</row>
    <row r="285" spans="1:30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</row>
    <row r="286" spans="1:30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</row>
    <row r="287" spans="1:30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</row>
    <row r="288" spans="1:30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</row>
    <row r="289" spans="1:30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</row>
    <row r="290" spans="1:30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</row>
    <row r="291" spans="1:30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</row>
    <row r="292" spans="1:30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</row>
    <row r="293" spans="1:30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</row>
    <row r="294" spans="1:30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</row>
    <row r="295" spans="1:30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</row>
    <row r="296" spans="1:30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</row>
    <row r="297" spans="1:30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</row>
    <row r="298" spans="1:30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</row>
    <row r="299" spans="1:30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</row>
    <row r="300" spans="1:30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</row>
    <row r="301" spans="1:30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</row>
    <row r="302" spans="1:30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</row>
    <row r="303" spans="1:30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</row>
    <row r="304" spans="1:30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</row>
    <row r="305" spans="1:30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</row>
    <row r="306" spans="1:30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</row>
    <row r="307" spans="1:30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</row>
    <row r="308" spans="1:30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</row>
    <row r="309" spans="1:30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</row>
    <row r="310" spans="1:30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</row>
    <row r="311" spans="1:30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</row>
    <row r="312" spans="1:30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</row>
    <row r="313" spans="1:30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</row>
    <row r="314" spans="1:30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</row>
    <row r="315" spans="1:30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</row>
    <row r="316" spans="1:30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</row>
    <row r="317" spans="1:30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</row>
    <row r="318" spans="1:30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</row>
    <row r="319" spans="1:30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</row>
    <row r="320" spans="1:30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</row>
    <row r="321" spans="1:30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</row>
    <row r="322" spans="1:30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</row>
    <row r="323" spans="1:30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</row>
    <row r="324" spans="1:30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</row>
    <row r="325" spans="1:30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</row>
    <row r="326" spans="1:30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</row>
    <row r="327" spans="1:30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</row>
    <row r="328" spans="1:30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</row>
    <row r="329" spans="1:30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</row>
    <row r="330" spans="1:30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</row>
    <row r="331" spans="1:30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</row>
    <row r="332" spans="1:30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</row>
    <row r="333" spans="1:30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</row>
    <row r="334" spans="1:30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</row>
    <row r="335" spans="1:30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</row>
    <row r="336" spans="1:30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</row>
    <row r="337" spans="1:30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</row>
    <row r="338" spans="1:30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</row>
    <row r="339" spans="1:30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</row>
    <row r="340" spans="1:30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</row>
    <row r="341" spans="1:30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</row>
    <row r="342" spans="1:30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</row>
    <row r="343" spans="1:30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</row>
    <row r="344" spans="1:30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</row>
    <row r="345" spans="1:30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</row>
    <row r="346" spans="1:30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</row>
    <row r="347" spans="1:30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</row>
    <row r="348" spans="1:30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</row>
    <row r="349" spans="1:30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</row>
    <row r="350" spans="1:30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</row>
    <row r="351" spans="1:30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</row>
    <row r="352" spans="1:30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</row>
    <row r="353" spans="1:30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</row>
    <row r="354" spans="1:30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</row>
    <row r="355" spans="1:30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</row>
    <row r="356" spans="1:30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</row>
    <row r="357" spans="1:30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</row>
    <row r="358" spans="1:30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</row>
    <row r="359" spans="1:30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</row>
    <row r="360" spans="1:30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</row>
    <row r="361" spans="1:30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</row>
    <row r="362" spans="1:30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</row>
    <row r="363" spans="1:30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</row>
    <row r="364" spans="1:30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</row>
    <row r="365" spans="1:30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</row>
    <row r="366" spans="1:30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</row>
    <row r="367" spans="1:30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</row>
    <row r="368" spans="1:30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</row>
    <row r="369" spans="1:30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</row>
    <row r="370" spans="1:30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</row>
    <row r="371" spans="1:30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</row>
    <row r="372" spans="1:30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</row>
    <row r="373" spans="1:30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</row>
    <row r="374" spans="1:30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</row>
    <row r="375" spans="1:30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</row>
    <row r="376" spans="1:30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</row>
    <row r="377" spans="1:30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</row>
    <row r="378" spans="1:30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</row>
    <row r="379" spans="1:30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</row>
    <row r="380" spans="1:30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</row>
    <row r="381" spans="1:30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</row>
    <row r="382" spans="1:30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</row>
    <row r="383" spans="1:30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</row>
    <row r="384" spans="1:30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</row>
    <row r="385" spans="1:30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</row>
    <row r="386" spans="1:30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</row>
    <row r="387" spans="1:30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</row>
    <row r="388" spans="1:30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</row>
    <row r="389" spans="1:30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</row>
    <row r="390" spans="1:30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</row>
    <row r="391" spans="1:30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</row>
    <row r="392" spans="1:30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</row>
    <row r="393" spans="1:30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</row>
    <row r="394" spans="1:30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</row>
    <row r="395" spans="1:30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</row>
    <row r="396" spans="1:30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</row>
    <row r="397" spans="1:30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</row>
    <row r="398" spans="1:30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</row>
    <row r="399" spans="1:30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</row>
    <row r="400" spans="1:30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</row>
    <row r="401" spans="1:30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</row>
    <row r="402" spans="1:30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</row>
    <row r="403" spans="1:30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</row>
    <row r="404" spans="1:30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</row>
    <row r="405" spans="1:30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</row>
    <row r="406" spans="1:30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</row>
    <row r="407" spans="1:30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</row>
    <row r="408" spans="1:30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</row>
    <row r="409" spans="1:30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</row>
    <row r="410" spans="1:30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</row>
    <row r="411" spans="1:30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</row>
    <row r="412" spans="1:30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</row>
    <row r="413" spans="1:30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</row>
    <row r="414" spans="1:30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</row>
    <row r="415" spans="1:30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</row>
    <row r="416" spans="1:30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</row>
    <row r="417" spans="1:30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</row>
    <row r="418" spans="1:30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</row>
    <row r="419" spans="1:30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</row>
    <row r="420" spans="1:30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</row>
    <row r="421" spans="1:30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</row>
    <row r="422" spans="1:30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</row>
    <row r="423" spans="1:30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</row>
    <row r="424" spans="1:30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</row>
    <row r="425" spans="1:30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</row>
    <row r="426" spans="1:30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</row>
    <row r="427" spans="1:30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</row>
    <row r="428" spans="1:30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</row>
    <row r="429" spans="1:30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</row>
    <row r="430" spans="1:30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</row>
    <row r="431" spans="1:30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</row>
    <row r="432" spans="1:30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</row>
    <row r="433" spans="1:30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</row>
    <row r="434" spans="1:30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</row>
    <row r="435" spans="1:30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</row>
    <row r="436" spans="1:30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</row>
    <row r="437" spans="1:30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</row>
    <row r="438" spans="1:30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</row>
    <row r="439" spans="1:30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</row>
    <row r="440" spans="1:30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</row>
    <row r="441" spans="1:30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</row>
    <row r="442" spans="1:30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</row>
    <row r="443" spans="1:30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</row>
    <row r="444" spans="1:30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</row>
    <row r="445" spans="1:30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</row>
    <row r="446" spans="1:30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</row>
    <row r="447" spans="1:30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</row>
    <row r="448" spans="1:30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</row>
    <row r="449" spans="1:30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</row>
    <row r="450" spans="1:30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</row>
    <row r="451" spans="1:30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</row>
    <row r="452" spans="1:30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</row>
    <row r="453" spans="1:30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</row>
    <row r="454" spans="1:30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</row>
    <row r="455" spans="1:30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</row>
    <row r="456" spans="1:30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</row>
    <row r="457" spans="1:30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</row>
    <row r="458" spans="1:30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</row>
    <row r="459" spans="1:30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</row>
    <row r="460" spans="1:30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</row>
    <row r="461" spans="1:30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</row>
    <row r="462" spans="1:30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</row>
    <row r="463" spans="1:30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</row>
    <row r="464" spans="1:30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</row>
    <row r="465" spans="1:30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</row>
    <row r="466" spans="1:30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</row>
    <row r="467" spans="1:30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</row>
    <row r="468" spans="1:30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</row>
    <row r="469" spans="1:30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</row>
    <row r="470" spans="1:30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</row>
    <row r="471" spans="1:30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</row>
    <row r="472" spans="1:30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</row>
    <row r="473" spans="1:30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</row>
    <row r="474" spans="1:30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</row>
    <row r="475" spans="1:30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</row>
    <row r="476" spans="1:30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</row>
    <row r="477" spans="1:30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</row>
    <row r="478" spans="1:30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</row>
    <row r="479" spans="1:30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</row>
    <row r="480" spans="1:30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</row>
    <row r="481" spans="1:30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</row>
    <row r="482" spans="1:30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</row>
    <row r="483" spans="1:30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</row>
    <row r="484" spans="1:30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</row>
    <row r="485" spans="1:30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</row>
    <row r="486" spans="1:30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</row>
    <row r="487" spans="1:30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</row>
    <row r="488" spans="1:30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</row>
    <row r="489" spans="1:30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</row>
    <row r="490" spans="1:30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</row>
    <row r="491" spans="1:30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</row>
    <row r="492" spans="1:30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</row>
    <row r="493" spans="1:30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</row>
    <row r="494" spans="1:30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</row>
    <row r="495" spans="1:30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</row>
    <row r="496" spans="1:30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</row>
    <row r="497" spans="1:30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</row>
    <row r="498" spans="1:30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</row>
    <row r="499" spans="1:30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</row>
    <row r="500" spans="1:30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</row>
    <row r="501" spans="1:30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</row>
    <row r="502" spans="1:30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</row>
    <row r="503" spans="1:30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</row>
    <row r="504" spans="1:30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</row>
    <row r="505" spans="1:30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</row>
    <row r="506" spans="1:30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</row>
    <row r="507" spans="1:30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</row>
    <row r="508" spans="1:30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</row>
    <row r="509" spans="1:30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</row>
    <row r="510" spans="1:30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</row>
    <row r="511" spans="1:30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</row>
    <row r="512" spans="1:30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</row>
    <row r="513" spans="1:30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</row>
    <row r="514" spans="1:30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</row>
    <row r="515" spans="1:30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</row>
    <row r="516" spans="1:30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</row>
    <row r="517" spans="1:30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</row>
    <row r="518" spans="1:30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</row>
    <row r="519" spans="1:30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</row>
    <row r="520" spans="1:30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</row>
    <row r="521" spans="1:30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</row>
    <row r="522" spans="1:30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</row>
    <row r="523" spans="1:30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</row>
    <row r="524" spans="1:30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</row>
    <row r="525" spans="1:30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</row>
    <row r="526" spans="1:30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</row>
    <row r="527" spans="1:30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</row>
    <row r="528" spans="1:30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</row>
    <row r="529" spans="1:30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</row>
    <row r="530" spans="1:30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</row>
    <row r="531" spans="1:30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</row>
    <row r="532" spans="1:30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</row>
    <row r="533" spans="1:30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</row>
    <row r="534" spans="1:30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</row>
    <row r="535" spans="1:30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</row>
    <row r="536" spans="1:30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</row>
    <row r="537" spans="1:30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</row>
    <row r="538" spans="1:30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</row>
    <row r="539" spans="1:30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</row>
    <row r="540" spans="1:30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</row>
    <row r="541" spans="1:30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</row>
    <row r="542" spans="1:30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</row>
    <row r="543" spans="1:30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</row>
    <row r="544" spans="1:30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</row>
    <row r="545" spans="1:30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</row>
    <row r="546" spans="1:30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</row>
    <row r="547" spans="1:30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</row>
    <row r="548" spans="1:30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</row>
    <row r="549" spans="1:30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</row>
    <row r="550" spans="1:30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</row>
    <row r="551" spans="1:30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</row>
    <row r="552" spans="1:30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</row>
    <row r="553" spans="1:30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</row>
    <row r="554" spans="1:30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</row>
    <row r="555" spans="1:30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</row>
    <row r="556" spans="1:30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</row>
    <row r="557" spans="1:30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</row>
    <row r="558" spans="1:30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</row>
    <row r="559" spans="1:30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</row>
    <row r="560" spans="1:30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</row>
    <row r="561" spans="1:30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</row>
    <row r="562" spans="1:30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</row>
    <row r="563" spans="1:30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</row>
    <row r="564" spans="1:30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</row>
    <row r="565" spans="1:30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</row>
    <row r="566" spans="1:30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</row>
    <row r="567" spans="1:30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</row>
    <row r="568" spans="1:30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</row>
    <row r="569" spans="1:30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</row>
    <row r="570" spans="1:30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</row>
    <row r="571" spans="1:30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</row>
    <row r="572" spans="1:30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</row>
    <row r="573" spans="1:30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</row>
    <row r="574" spans="1:30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</row>
    <row r="575" spans="1:30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</row>
    <row r="576" spans="1:30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</row>
    <row r="577" spans="1:30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</row>
    <row r="578" spans="1:30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</row>
    <row r="579" spans="1:30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</row>
    <row r="580" spans="1:30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</row>
    <row r="581" spans="1:30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</row>
    <row r="582" spans="1:30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</row>
    <row r="583" spans="1:30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</row>
    <row r="584" spans="1:30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</row>
    <row r="585" spans="1:30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</row>
    <row r="586" spans="1:30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</row>
    <row r="587" spans="1:30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</row>
    <row r="588" spans="1:30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</row>
    <row r="589" spans="1:30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</row>
    <row r="590" spans="1:30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</row>
    <row r="591" spans="1:30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</row>
    <row r="592" spans="1:30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</row>
    <row r="593" spans="1:30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</row>
    <row r="594" spans="1:30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</row>
    <row r="595" spans="1:30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</row>
    <row r="596" spans="1:30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</row>
    <row r="597" spans="1:30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</row>
    <row r="598" spans="1:30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</row>
    <row r="599" spans="1:30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</row>
    <row r="600" spans="1:30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</row>
    <row r="601" spans="1:30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</row>
    <row r="602" spans="1:30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</row>
    <row r="603" spans="1:30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</row>
    <row r="604" spans="1:30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</row>
    <row r="605" spans="1:30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</row>
    <row r="606" spans="1:30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</row>
    <row r="607" spans="1:30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</row>
    <row r="608" spans="1:30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</row>
    <row r="609" spans="1:30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</row>
    <row r="610" spans="1:30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</row>
    <row r="611" spans="1:30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</row>
    <row r="612" spans="1:30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</row>
    <row r="613" spans="1:30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</row>
    <row r="614" spans="1:30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</row>
    <row r="615" spans="1:30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</row>
    <row r="616" spans="1:30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</row>
    <row r="617" spans="1:30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</row>
    <row r="618" spans="1:30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</row>
    <row r="619" spans="1:30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</row>
    <row r="620" spans="1:30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</row>
    <row r="621" spans="1:30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</row>
    <row r="622" spans="1:30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</row>
    <row r="623" spans="1:30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</row>
    <row r="624" spans="1:30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</row>
    <row r="625" spans="1:30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</row>
    <row r="626" spans="1:30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</row>
    <row r="627" spans="1:30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</row>
    <row r="628" spans="1:30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</row>
    <row r="629" spans="1:30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</row>
    <row r="630" spans="1:30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</row>
    <row r="631" spans="1:30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</row>
    <row r="632" spans="1:30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</row>
    <row r="633" spans="1:30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</row>
    <row r="634" spans="1:30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</row>
    <row r="635" spans="1:30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</row>
    <row r="636" spans="1:30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</row>
    <row r="637" spans="1:30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</row>
    <row r="638" spans="1:30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</row>
    <row r="639" spans="1:30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</row>
    <row r="640" spans="1:30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</row>
    <row r="641" spans="1:30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</row>
    <row r="642" spans="1:30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</row>
    <row r="643" spans="1:30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</row>
    <row r="644" spans="1:30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</row>
    <row r="645" spans="1:30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</row>
    <row r="646" spans="1:30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</row>
    <row r="647" spans="1:30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</row>
    <row r="648" spans="1:30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</row>
    <row r="649" spans="1:30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</row>
    <row r="650" spans="1:30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</row>
    <row r="651" spans="1:30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</row>
    <row r="652" spans="1:30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</row>
    <row r="653" spans="1:30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</row>
    <row r="654" spans="1:30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</row>
    <row r="655" spans="1:30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</row>
    <row r="656" spans="1:30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</row>
    <row r="657" spans="1:30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</row>
    <row r="658" spans="1:30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</row>
    <row r="659" spans="1:30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</row>
    <row r="660" spans="1:30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</row>
    <row r="661" spans="1:30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</row>
    <row r="662" spans="1:30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</row>
    <row r="663" spans="1:30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</row>
    <row r="664" spans="1:30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</row>
    <row r="665" spans="1:30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</row>
    <row r="666" spans="1:30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</row>
    <row r="667" spans="1:30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</row>
    <row r="668" spans="1:30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</row>
    <row r="669" spans="1:30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</row>
    <row r="670" spans="1:30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</row>
    <row r="671" spans="1:30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</row>
    <row r="672" spans="1:30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</row>
    <row r="673" spans="1:30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</row>
    <row r="674" spans="1:30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</row>
    <row r="675" spans="1:30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</row>
    <row r="676" spans="1:30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</row>
    <row r="677" spans="1:30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</row>
    <row r="678" spans="1:30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</row>
    <row r="679" spans="1:30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</row>
    <row r="680" spans="1:30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</row>
    <row r="681" spans="1:30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</row>
    <row r="682" spans="1:30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</row>
    <row r="683" spans="1:30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</row>
    <row r="684" spans="1:30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</row>
    <row r="685" spans="1:30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</row>
    <row r="686" spans="1:30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</row>
    <row r="687" spans="1:30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</row>
    <row r="688" spans="1:30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</row>
    <row r="689" spans="1:30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</row>
    <row r="690" spans="1:30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</row>
    <row r="691" spans="1:30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</row>
    <row r="692" spans="1:30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</row>
    <row r="693" spans="1:30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</row>
    <row r="694" spans="1:30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</row>
    <row r="695" spans="1:30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</row>
    <row r="696" spans="1:30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</row>
    <row r="697" spans="1:30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</row>
    <row r="698" spans="1:30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</row>
    <row r="699" spans="1:30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</row>
    <row r="700" spans="1:30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</row>
    <row r="701" spans="1:30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</row>
    <row r="702" spans="1:30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</row>
    <row r="703" spans="1:30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</row>
    <row r="704" spans="1:30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</row>
    <row r="705" spans="1:30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</row>
    <row r="706" spans="1:30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</row>
    <row r="707" spans="1:30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</row>
    <row r="708" spans="1:30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</row>
    <row r="709" spans="1:30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</row>
    <row r="710" spans="1:30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</row>
    <row r="711" spans="1:30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</row>
    <row r="712" spans="1:30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</row>
    <row r="713" spans="1:30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</row>
    <row r="714" spans="1:30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</row>
    <row r="715" spans="1:30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</row>
    <row r="716" spans="1:30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</row>
    <row r="717" spans="1:30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</row>
    <row r="718" spans="1:30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</row>
    <row r="719" spans="1:30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</row>
    <row r="720" spans="1:30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</row>
    <row r="721" spans="1:30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</row>
    <row r="722" spans="1:30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</row>
    <row r="723" spans="1:30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</row>
    <row r="724" spans="1:30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</row>
    <row r="725" spans="1:30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</row>
    <row r="726" spans="1:30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</row>
    <row r="727" spans="1:30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</row>
    <row r="728" spans="1:30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</row>
    <row r="729" spans="1:30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</row>
    <row r="730" spans="1:30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</row>
    <row r="731" spans="1:30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</row>
    <row r="732" spans="1:30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</row>
    <row r="733" spans="1:30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</row>
    <row r="734" spans="1:30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</row>
    <row r="735" spans="1:30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</row>
    <row r="736" spans="1:30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</row>
    <row r="737" spans="1:30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</row>
    <row r="738" spans="1:30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</row>
    <row r="739" spans="1:30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</row>
    <row r="740" spans="1:30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</row>
    <row r="741" spans="1:30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</row>
    <row r="742" spans="1:30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</row>
    <row r="743" spans="1:30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</row>
    <row r="744" spans="1:30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</row>
    <row r="745" spans="1:30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</row>
    <row r="746" spans="1:30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</row>
    <row r="747" spans="1:30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</row>
    <row r="748" spans="1:30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</row>
    <row r="749" spans="1:30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</row>
    <row r="750" spans="1:30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</row>
    <row r="751" spans="1:30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</row>
    <row r="752" spans="1:30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</row>
    <row r="753" spans="1:30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</row>
    <row r="754" spans="1:30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</row>
    <row r="755" spans="1:30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</row>
    <row r="756" spans="1:30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</row>
    <row r="757" spans="1:30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</row>
    <row r="758" spans="1:30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</row>
    <row r="759" spans="1:30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</row>
    <row r="760" spans="1:30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</row>
    <row r="761" spans="1:30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</row>
    <row r="762" spans="1:30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</row>
    <row r="763" spans="1:30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</row>
    <row r="764" spans="1:30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</row>
    <row r="765" spans="1:30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</row>
    <row r="766" spans="1:30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</row>
    <row r="767" spans="1:30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</row>
    <row r="768" spans="1:30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</row>
    <row r="769" spans="1:30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</row>
    <row r="770" spans="1:30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</row>
    <row r="771" spans="1:30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</row>
    <row r="772" spans="1:30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</row>
    <row r="773" spans="1:30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</row>
    <row r="774" spans="1:30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</row>
    <row r="775" spans="1:30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</row>
    <row r="776" spans="1:30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</row>
    <row r="777" spans="1:30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</row>
    <row r="778" spans="1:30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</row>
    <row r="779" spans="1:30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</row>
    <row r="780" spans="1:30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</row>
    <row r="781" spans="1:30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</row>
    <row r="782" spans="1:30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</row>
    <row r="783" spans="1:30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</row>
    <row r="784" spans="1:30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</row>
    <row r="785" spans="1:30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</row>
    <row r="786" spans="1:30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</row>
    <row r="787" spans="1:30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</row>
    <row r="788" spans="1:30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</row>
    <row r="789" spans="1:30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</row>
    <row r="790" spans="1:30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</row>
    <row r="791" spans="1:30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</row>
    <row r="792" spans="1:30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</row>
    <row r="793" spans="1:30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</row>
    <row r="794" spans="1:30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</row>
    <row r="795" spans="1:30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</row>
    <row r="796" spans="1:30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</row>
    <row r="797" spans="1:30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</row>
    <row r="798" spans="1:30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</row>
    <row r="799" spans="1:30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</row>
    <row r="800" spans="1:30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</row>
    <row r="801" spans="1:30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</row>
    <row r="802" spans="1:30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</row>
    <row r="803" spans="1:30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</row>
    <row r="804" spans="1:30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</row>
    <row r="805" spans="1:30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</row>
    <row r="806" spans="1:30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</row>
    <row r="807" spans="1:30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</row>
    <row r="808" spans="1:30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</row>
    <row r="809" spans="1:30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</row>
    <row r="810" spans="1:30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</row>
    <row r="811" spans="1:30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</row>
    <row r="812" spans="1:30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</row>
    <row r="813" spans="1:30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</row>
    <row r="814" spans="1:30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</row>
    <row r="815" spans="1:30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</row>
    <row r="816" spans="1:30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</row>
    <row r="817" spans="1:30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</row>
    <row r="818" spans="1:30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</row>
    <row r="819" spans="1:30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</row>
    <row r="820" spans="1:30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</row>
    <row r="821" spans="1:30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</row>
    <row r="822" spans="1:30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</row>
    <row r="823" spans="1:30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</row>
    <row r="824" spans="1:30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</row>
    <row r="825" spans="1:30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</row>
    <row r="826" spans="1:30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</row>
    <row r="827" spans="1:30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</row>
    <row r="828" spans="1:30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</row>
    <row r="829" spans="1:30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</row>
    <row r="830" spans="1:30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</row>
    <row r="831" spans="1:30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</row>
    <row r="832" spans="1:30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</row>
    <row r="833" spans="1:30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</row>
    <row r="834" spans="1:30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</row>
    <row r="835" spans="1:30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</row>
    <row r="836" spans="1:30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</row>
    <row r="837" spans="1:30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</row>
    <row r="838" spans="1:30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</row>
    <row r="839" spans="1:30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</row>
    <row r="840" spans="1:30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</row>
    <row r="841" spans="1:30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</row>
    <row r="842" spans="1:30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</row>
    <row r="843" spans="1:30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</row>
    <row r="844" spans="1:30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</row>
    <row r="845" spans="1:30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</row>
    <row r="846" spans="1:30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</row>
    <row r="847" spans="1:30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</row>
    <row r="848" spans="1:30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</row>
    <row r="849" spans="1:30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</row>
    <row r="850" spans="1:30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</row>
    <row r="851" spans="1:30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</row>
    <row r="852" spans="1:30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</row>
    <row r="853" spans="1:30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</row>
    <row r="854" spans="1:30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</row>
    <row r="855" spans="1:30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</row>
    <row r="856" spans="1:30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</row>
    <row r="857" spans="1:30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</row>
    <row r="858" spans="1:30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</row>
    <row r="859" spans="1:30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</row>
    <row r="860" spans="1:30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</row>
    <row r="861" spans="1:30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</row>
    <row r="862" spans="1:30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</row>
    <row r="863" spans="1:30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</row>
    <row r="864" spans="1:30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</row>
    <row r="865" spans="1:30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</row>
    <row r="866" spans="1:30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</row>
    <row r="867" spans="1:30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</row>
    <row r="868" spans="1:30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</row>
    <row r="869" spans="1:30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</row>
    <row r="870" spans="1:30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</row>
    <row r="871" spans="1:30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</row>
    <row r="872" spans="1:30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</row>
    <row r="873" spans="1:30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</row>
    <row r="874" spans="1:30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</row>
    <row r="875" spans="1:30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</row>
    <row r="876" spans="1:30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</row>
    <row r="877" spans="1:30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</row>
    <row r="878" spans="1:30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</row>
    <row r="879" spans="1:30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</row>
    <row r="880" spans="1:30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</row>
    <row r="881" spans="1:30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</row>
    <row r="882" spans="1:30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</row>
    <row r="883" spans="1:30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</row>
    <row r="884" spans="1:30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</row>
    <row r="885" spans="1:30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</row>
    <row r="886" spans="1:30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</row>
    <row r="887" spans="1:30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</row>
    <row r="888" spans="1:30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</row>
    <row r="889" spans="1:30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</row>
    <row r="890" spans="1:30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</row>
    <row r="891" spans="1:30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</row>
    <row r="892" spans="1:30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</row>
    <row r="893" spans="1:30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</row>
    <row r="894" spans="1:30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</row>
    <row r="895" spans="1:30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</row>
    <row r="896" spans="1:30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</row>
    <row r="897" spans="1:30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</row>
    <row r="898" spans="1:30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</row>
    <row r="899" spans="1:30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</row>
    <row r="900" spans="1:30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</row>
    <row r="901" spans="1:30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</row>
    <row r="902" spans="1:30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</row>
    <row r="903" spans="1:30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</row>
    <row r="904" spans="1:30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</row>
    <row r="905" spans="1:30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</row>
    <row r="906" spans="1:30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</row>
    <row r="907" spans="1:30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</row>
    <row r="908" spans="1:30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</row>
    <row r="909" spans="1:30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</row>
    <row r="910" spans="1:30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</row>
    <row r="911" spans="1:30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</row>
    <row r="912" spans="1:30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</row>
    <row r="913" spans="1:30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</row>
    <row r="914" spans="1:30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</row>
    <row r="915" spans="1:30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</row>
    <row r="916" spans="1:30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</row>
    <row r="917" spans="1:30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</row>
    <row r="918" spans="1:30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</row>
    <row r="919" spans="1:30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</row>
  </sheetData>
  <mergeCells count="141">
    <mergeCell ref="B202:C202"/>
    <mergeCell ref="B198:C198"/>
    <mergeCell ref="B199:C199"/>
    <mergeCell ref="B200:C200"/>
    <mergeCell ref="B201:C201"/>
    <mergeCell ref="B192:F192"/>
    <mergeCell ref="B186:F186"/>
    <mergeCell ref="B149:F149"/>
    <mergeCell ref="B150:F150"/>
    <mergeCell ref="B155:F155"/>
    <mergeCell ref="B156:F156"/>
    <mergeCell ref="B176:F176"/>
    <mergeCell ref="B143:F143"/>
    <mergeCell ref="B141:F141"/>
    <mergeCell ref="B142:F142"/>
    <mergeCell ref="B154:F154"/>
    <mergeCell ref="B153:F153"/>
    <mergeCell ref="B151:F151"/>
    <mergeCell ref="B152:F152"/>
    <mergeCell ref="B139:F139"/>
    <mergeCell ref="B137:F137"/>
    <mergeCell ref="B138:F138"/>
    <mergeCell ref="B148:F148"/>
    <mergeCell ref="B147:F147"/>
    <mergeCell ref="B146:J146"/>
    <mergeCell ref="G148:I148"/>
    <mergeCell ref="G147:I147"/>
    <mergeCell ref="G154:I154"/>
    <mergeCell ref="G132:I132"/>
    <mergeCell ref="G131:I131"/>
    <mergeCell ref="B133:F133"/>
    <mergeCell ref="G133:I133"/>
    <mergeCell ref="B140:F140"/>
    <mergeCell ref="G140:I140"/>
    <mergeCell ref="B131:F131"/>
    <mergeCell ref="B132:F132"/>
    <mergeCell ref="G130:I130"/>
    <mergeCell ref="G87:I87"/>
    <mergeCell ref="G86:I86"/>
    <mergeCell ref="B86:F86"/>
    <mergeCell ref="B85:F85"/>
    <mergeCell ref="B87:F87"/>
    <mergeCell ref="B90:I90"/>
    <mergeCell ref="B99:F99"/>
    <mergeCell ref="B98:F98"/>
    <mergeCell ref="G85:I85"/>
    <mergeCell ref="G88:I88"/>
    <mergeCell ref="G98:I98"/>
    <mergeCell ref="G99:I99"/>
    <mergeCell ref="G97:I97"/>
    <mergeCell ref="G94:I94"/>
    <mergeCell ref="G95:I95"/>
    <mergeCell ref="G96:I96"/>
    <mergeCell ref="B92:F92"/>
    <mergeCell ref="B94:F94"/>
    <mergeCell ref="B88:F88"/>
    <mergeCell ref="B89:F89"/>
    <mergeCell ref="B97:F97"/>
    <mergeCell ref="B96:F96"/>
    <mergeCell ref="B91:F91"/>
    <mergeCell ref="B95:F95"/>
    <mergeCell ref="G84:I84"/>
    <mergeCell ref="B21:D21"/>
    <mergeCell ref="B8:D8"/>
    <mergeCell ref="B3:D3"/>
    <mergeCell ref="B11:D11"/>
    <mergeCell ref="B14:D14"/>
    <mergeCell ref="B25:D25"/>
    <mergeCell ref="B30:D30"/>
    <mergeCell ref="B80:F80"/>
    <mergeCell ref="B79:F79"/>
    <mergeCell ref="G78:I78"/>
    <mergeCell ref="B78:F78"/>
    <mergeCell ref="G83:I83"/>
    <mergeCell ref="G79:I79"/>
    <mergeCell ref="G80:I80"/>
    <mergeCell ref="G81:I81"/>
    <mergeCell ref="G82:I82"/>
    <mergeCell ref="B36:D36"/>
    <mergeCell ref="B81:F81"/>
    <mergeCell ref="B82:F82"/>
    <mergeCell ref="B84:F84"/>
    <mergeCell ref="B83:F83"/>
    <mergeCell ref="G105:I105"/>
    <mergeCell ref="G121:I121"/>
    <mergeCell ref="G120:I120"/>
    <mergeCell ref="G122:I122"/>
    <mergeCell ref="G124:I124"/>
    <mergeCell ref="G123:I123"/>
    <mergeCell ref="B122:F122"/>
    <mergeCell ref="B123:F123"/>
    <mergeCell ref="B121:F121"/>
    <mergeCell ref="B124:F124"/>
    <mergeCell ref="G128:I128"/>
    <mergeCell ref="B128:F128"/>
    <mergeCell ref="B203:C203"/>
    <mergeCell ref="B204:C204"/>
    <mergeCell ref="B205:C205"/>
    <mergeCell ref="B169:G169"/>
    <mergeCell ref="B163:J163"/>
    <mergeCell ref="B111:F111"/>
    <mergeCell ref="B110:F110"/>
    <mergeCell ref="B113:F113"/>
    <mergeCell ref="B112:F112"/>
    <mergeCell ref="G137:I137"/>
    <mergeCell ref="G138:I138"/>
    <mergeCell ref="G155:I155"/>
    <mergeCell ref="G139:I139"/>
    <mergeCell ref="G156:I156"/>
    <mergeCell ref="G153:I153"/>
    <mergeCell ref="G143:I143"/>
    <mergeCell ref="G141:I141"/>
    <mergeCell ref="G142:I142"/>
    <mergeCell ref="G152:I152"/>
    <mergeCell ref="G129:I129"/>
    <mergeCell ref="B130:F130"/>
    <mergeCell ref="B129:F129"/>
    <mergeCell ref="B104:F104"/>
    <mergeCell ref="B103:F103"/>
    <mergeCell ref="G104:I104"/>
    <mergeCell ref="G103:I103"/>
    <mergeCell ref="B120:F120"/>
    <mergeCell ref="B119:F119"/>
    <mergeCell ref="B117:F117"/>
    <mergeCell ref="B118:F118"/>
    <mergeCell ref="G117:I117"/>
    <mergeCell ref="G118:I118"/>
    <mergeCell ref="G112:I112"/>
    <mergeCell ref="G110:I110"/>
    <mergeCell ref="G111:I111"/>
    <mergeCell ref="G113:I113"/>
    <mergeCell ref="G119:I119"/>
    <mergeCell ref="G109:I109"/>
    <mergeCell ref="G108:I108"/>
    <mergeCell ref="G107:I107"/>
    <mergeCell ref="G106:I106"/>
    <mergeCell ref="B107:F107"/>
    <mergeCell ref="B105:F105"/>
    <mergeCell ref="B108:F108"/>
    <mergeCell ref="B109:F109"/>
    <mergeCell ref="B106:F10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86"/>
  <sheetViews>
    <sheetView workbookViewId="0">
      <selection activeCell="A7" sqref="A7:G7"/>
    </sheetView>
  </sheetViews>
  <sheetFormatPr defaultColWidth="14.44140625" defaultRowHeight="15.75" customHeight="1" x14ac:dyDescent="0.25"/>
  <sheetData>
    <row r="1" spans="1:7" ht="15.75" customHeight="1" x14ac:dyDescent="0.25">
      <c r="A1" s="6" t="s">
        <v>0</v>
      </c>
    </row>
    <row r="2" spans="1:7" ht="15.75" customHeight="1" x14ac:dyDescent="0.25">
      <c r="A2" s="8"/>
      <c r="B2" s="8"/>
      <c r="C2" s="8"/>
      <c r="D2" s="8"/>
      <c r="E2" s="8"/>
      <c r="F2" s="8"/>
      <c r="G2" s="8"/>
    </row>
    <row r="3" spans="1:7" ht="15.75" customHeight="1" x14ac:dyDescent="0.25">
      <c r="A3" s="161" t="str">
        <f ca="1">IFERROR(__xludf.DUMMYFUNCTION("query(Data!A2:BY500,""select BH where BH IS NOT NULL"")"),"Доступний Wi-Fi, ремонт вхідних сходів.")</f>
        <v>Доступний Wi-Fi, ремонт вхідних сходів.</v>
      </c>
      <c r="B3" s="143"/>
      <c r="C3" s="143"/>
      <c r="D3" s="143"/>
      <c r="E3" s="143"/>
      <c r="F3" s="143"/>
      <c r="G3" s="143"/>
    </row>
    <row r="4" spans="1:7" ht="15.75" customHeight="1" x14ac:dyDescent="0.25">
      <c r="A4" s="161" t="str">
        <f ca="1">IFERROR(__xludf.DUMMYFUNCTION("""COMPUTED_VALUE"""),"Цілком влаштовує.")</f>
        <v>Цілком влаштовує.</v>
      </c>
      <c r="B4" s="143"/>
      <c r="C4" s="143"/>
      <c r="D4" s="143"/>
      <c r="E4" s="143"/>
      <c r="F4" s="143"/>
      <c r="G4" s="143"/>
    </row>
    <row r="5" spans="1:7" ht="15.75" customHeight="1" x14ac:dyDescent="0.25">
      <c r="A5" s="161" t="str">
        <f ca="1">IFERROR(__xludf.DUMMYFUNCTION("""COMPUTED_VALUE"""),"В цілому робота суду знаходиться на високому рівні.")</f>
        <v>В цілому робота суду знаходиться на високому рівні.</v>
      </c>
      <c r="B5" s="143"/>
      <c r="C5" s="143"/>
      <c r="D5" s="143"/>
      <c r="E5" s="143"/>
      <c r="F5" s="143"/>
      <c r="G5" s="143"/>
    </row>
    <row r="6" spans="1:7" ht="15.75" customHeight="1" x14ac:dyDescent="0.25">
      <c r="A6" s="161" t="str">
        <f ca="1">IFERROR(__xludf.DUMMYFUNCTION("""COMPUTED_VALUE"""),"Немає.")</f>
        <v>Немає.</v>
      </c>
      <c r="B6" s="143"/>
      <c r="C6" s="143"/>
      <c r="D6" s="143"/>
      <c r="E6" s="143"/>
      <c r="F6" s="143"/>
      <c r="G6" s="143"/>
    </row>
    <row r="7" spans="1:7" ht="15.75" customHeight="1" x14ac:dyDescent="0.25">
      <c r="A7" s="161" t="str">
        <f ca="1">IFERROR(__xludf.DUMMYFUNCTION("""COMPUTED_VALUE"""),"Доступ до Wi-Fi/")</f>
        <v>Доступ до Wi-Fi/</v>
      </c>
      <c r="B7" s="143"/>
      <c r="C7" s="143"/>
      <c r="D7" s="143"/>
      <c r="E7" s="143"/>
      <c r="F7" s="143"/>
      <c r="G7" s="143"/>
    </row>
    <row r="8" spans="1:7" ht="15.75" customHeight="1" x14ac:dyDescent="0.25">
      <c r="A8" s="161"/>
      <c r="B8" s="143"/>
      <c r="C8" s="143"/>
      <c r="D8" s="143"/>
      <c r="E8" s="143"/>
      <c r="F8" s="143"/>
      <c r="G8" s="143"/>
    </row>
    <row r="9" spans="1:7" ht="15.75" customHeight="1" x14ac:dyDescent="0.25">
      <c r="A9" s="161"/>
      <c r="B9" s="143"/>
      <c r="C9" s="143"/>
      <c r="D9" s="143"/>
      <c r="E9" s="143"/>
      <c r="F9" s="143"/>
      <c r="G9" s="143"/>
    </row>
    <row r="10" spans="1:7" ht="15.75" customHeight="1" x14ac:dyDescent="0.25">
      <c r="A10" s="161"/>
      <c r="B10" s="143"/>
      <c r="C10" s="143"/>
      <c r="D10" s="143"/>
      <c r="E10" s="143"/>
      <c r="F10" s="143"/>
      <c r="G10" s="143"/>
    </row>
    <row r="11" spans="1:7" ht="15.75" customHeight="1" x14ac:dyDescent="0.25">
      <c r="A11" s="161"/>
      <c r="B11" s="143"/>
      <c r="C11" s="143"/>
      <c r="D11" s="143"/>
      <c r="E11" s="143"/>
      <c r="F11" s="143"/>
      <c r="G11" s="143"/>
    </row>
    <row r="12" spans="1:7" ht="15.75" customHeight="1" x14ac:dyDescent="0.25">
      <c r="A12" s="161"/>
      <c r="B12" s="143"/>
      <c r="C12" s="143"/>
      <c r="D12" s="143"/>
      <c r="E12" s="143"/>
      <c r="F12" s="143"/>
      <c r="G12" s="143"/>
    </row>
    <row r="13" spans="1:7" ht="15.75" customHeight="1" x14ac:dyDescent="0.25">
      <c r="A13" s="161"/>
      <c r="B13" s="143"/>
      <c r="C13" s="143"/>
      <c r="D13" s="143"/>
      <c r="E13" s="143"/>
      <c r="F13" s="143"/>
      <c r="G13" s="143"/>
    </row>
    <row r="14" spans="1:7" ht="15.75" customHeight="1" x14ac:dyDescent="0.25">
      <c r="A14" s="161"/>
      <c r="B14" s="143"/>
      <c r="C14" s="143"/>
      <c r="D14" s="143"/>
      <c r="E14" s="143"/>
      <c r="F14" s="143"/>
      <c r="G14" s="143"/>
    </row>
    <row r="15" spans="1:7" ht="15.75" customHeight="1" x14ac:dyDescent="0.25">
      <c r="A15" s="161"/>
      <c r="B15" s="143"/>
      <c r="C15" s="143"/>
      <c r="D15" s="143"/>
      <c r="E15" s="143"/>
      <c r="F15" s="143"/>
      <c r="G15" s="143"/>
    </row>
    <row r="16" spans="1:7" ht="15.75" customHeight="1" x14ac:dyDescent="0.25">
      <c r="A16" s="161"/>
      <c r="B16" s="143"/>
      <c r="C16" s="143"/>
      <c r="D16" s="143"/>
      <c r="E16" s="143"/>
      <c r="F16" s="143"/>
      <c r="G16" s="143"/>
    </row>
    <row r="17" spans="1:7" ht="15.75" customHeight="1" x14ac:dyDescent="0.25">
      <c r="A17" s="161"/>
      <c r="B17" s="143"/>
      <c r="C17" s="143"/>
      <c r="D17" s="143"/>
      <c r="E17" s="143"/>
      <c r="F17" s="143"/>
      <c r="G17" s="143"/>
    </row>
    <row r="18" spans="1:7" ht="15.75" customHeight="1" x14ac:dyDescent="0.25">
      <c r="A18" s="161"/>
      <c r="B18" s="143"/>
      <c r="C18" s="143"/>
      <c r="D18" s="143"/>
      <c r="E18" s="143"/>
      <c r="F18" s="143"/>
      <c r="G18" s="143"/>
    </row>
    <row r="19" spans="1:7" ht="15.75" customHeight="1" x14ac:dyDescent="0.25">
      <c r="A19" s="161"/>
      <c r="B19" s="143"/>
      <c r="C19" s="143"/>
      <c r="D19" s="143"/>
      <c r="E19" s="143"/>
      <c r="F19" s="143"/>
      <c r="G19" s="143"/>
    </row>
    <row r="20" spans="1:7" ht="15.75" customHeight="1" x14ac:dyDescent="0.25">
      <c r="A20" s="161"/>
      <c r="B20" s="143"/>
      <c r="C20" s="143"/>
      <c r="D20" s="143"/>
      <c r="E20" s="143"/>
      <c r="F20" s="143"/>
      <c r="G20" s="143"/>
    </row>
    <row r="21" spans="1:7" ht="15.75" customHeight="1" x14ac:dyDescent="0.25">
      <c r="A21" s="161"/>
      <c r="B21" s="143"/>
      <c r="C21" s="143"/>
      <c r="D21" s="143"/>
      <c r="E21" s="143"/>
      <c r="F21" s="143"/>
      <c r="G21" s="143"/>
    </row>
    <row r="22" spans="1:7" ht="13.2" x14ac:dyDescent="0.25">
      <c r="A22" s="161"/>
      <c r="B22" s="143"/>
      <c r="C22" s="143"/>
      <c r="D22" s="143"/>
      <c r="E22" s="143"/>
      <c r="F22" s="143"/>
      <c r="G22" s="143"/>
    </row>
    <row r="23" spans="1:7" ht="13.2" x14ac:dyDescent="0.25">
      <c r="A23" s="161"/>
      <c r="B23" s="143"/>
      <c r="C23" s="143"/>
      <c r="D23" s="143"/>
      <c r="E23" s="143"/>
      <c r="F23" s="143"/>
      <c r="G23" s="143"/>
    </row>
    <row r="24" spans="1:7" ht="13.2" x14ac:dyDescent="0.25">
      <c r="A24" s="161"/>
      <c r="B24" s="143"/>
      <c r="C24" s="143"/>
      <c r="D24" s="143"/>
      <c r="E24" s="143"/>
      <c r="F24" s="143"/>
      <c r="G24" s="143"/>
    </row>
    <row r="25" spans="1:7" ht="13.2" x14ac:dyDescent="0.25">
      <c r="A25" s="161"/>
      <c r="B25" s="143"/>
      <c r="C25" s="143"/>
      <c r="D25" s="143"/>
      <c r="E25" s="143"/>
      <c r="F25" s="143"/>
      <c r="G25" s="143"/>
    </row>
    <row r="26" spans="1:7" ht="13.2" x14ac:dyDescent="0.25">
      <c r="A26" s="161"/>
      <c r="B26" s="143"/>
      <c r="C26" s="143"/>
      <c r="D26" s="143"/>
      <c r="E26" s="143"/>
      <c r="F26" s="143"/>
      <c r="G26" s="143"/>
    </row>
    <row r="27" spans="1:7" ht="13.2" x14ac:dyDescent="0.25">
      <c r="A27" s="161"/>
      <c r="B27" s="143"/>
      <c r="C27" s="143"/>
      <c r="D27" s="143"/>
      <c r="E27" s="143"/>
      <c r="F27" s="143"/>
      <c r="G27" s="143"/>
    </row>
    <row r="28" spans="1:7" ht="13.2" x14ac:dyDescent="0.25">
      <c r="A28" s="161"/>
      <c r="B28" s="143"/>
      <c r="C28" s="143"/>
      <c r="D28" s="143"/>
      <c r="E28" s="143"/>
      <c r="F28" s="143"/>
      <c r="G28" s="143"/>
    </row>
    <row r="29" spans="1:7" ht="13.2" x14ac:dyDescent="0.25">
      <c r="A29" s="161"/>
      <c r="B29" s="143"/>
      <c r="C29" s="143"/>
      <c r="D29" s="143"/>
      <c r="E29" s="143"/>
      <c r="F29" s="143"/>
      <c r="G29" s="143"/>
    </row>
    <row r="30" spans="1:7" ht="13.2" x14ac:dyDescent="0.25">
      <c r="A30" s="161"/>
      <c r="B30" s="143"/>
      <c r="C30" s="143"/>
      <c r="D30" s="143"/>
      <c r="E30" s="143"/>
      <c r="F30" s="143"/>
      <c r="G30" s="143"/>
    </row>
    <row r="31" spans="1:7" ht="13.2" x14ac:dyDescent="0.25">
      <c r="A31" s="161"/>
      <c r="B31" s="143"/>
      <c r="C31" s="143"/>
      <c r="D31" s="143"/>
      <c r="E31" s="143"/>
      <c r="F31" s="143"/>
      <c r="G31" s="143"/>
    </row>
    <row r="32" spans="1:7" ht="13.2" x14ac:dyDescent="0.25">
      <c r="A32" s="161"/>
      <c r="B32" s="143"/>
      <c r="C32" s="143"/>
      <c r="D32" s="143"/>
      <c r="E32" s="143"/>
      <c r="F32" s="143"/>
      <c r="G32" s="143"/>
    </row>
    <row r="33" spans="1:7" ht="13.2" x14ac:dyDescent="0.25">
      <c r="A33" s="161"/>
      <c r="B33" s="143"/>
      <c r="C33" s="143"/>
      <c r="D33" s="143"/>
      <c r="E33" s="143"/>
      <c r="F33" s="143"/>
      <c r="G33" s="143"/>
    </row>
    <row r="34" spans="1:7" ht="13.2" x14ac:dyDescent="0.25">
      <c r="A34" s="161"/>
      <c r="B34" s="143"/>
      <c r="C34" s="143"/>
      <c r="D34" s="143"/>
      <c r="E34" s="143"/>
      <c r="F34" s="143"/>
      <c r="G34" s="143"/>
    </row>
    <row r="35" spans="1:7" ht="13.2" x14ac:dyDescent="0.25">
      <c r="A35" s="161"/>
      <c r="B35" s="143"/>
      <c r="C35" s="143"/>
      <c r="D35" s="143"/>
      <c r="E35" s="143"/>
      <c r="F35" s="143"/>
      <c r="G35" s="143"/>
    </row>
    <row r="36" spans="1:7" ht="13.2" x14ac:dyDescent="0.25">
      <c r="A36" s="161"/>
      <c r="B36" s="143"/>
      <c r="C36" s="143"/>
      <c r="D36" s="143"/>
      <c r="E36" s="143"/>
      <c r="F36" s="143"/>
      <c r="G36" s="143"/>
    </row>
    <row r="37" spans="1:7" ht="13.2" x14ac:dyDescent="0.25">
      <c r="A37" s="161"/>
      <c r="B37" s="143"/>
      <c r="C37" s="143"/>
      <c r="D37" s="143"/>
      <c r="E37" s="143"/>
      <c r="F37" s="143"/>
      <c r="G37" s="143"/>
    </row>
    <row r="38" spans="1:7" ht="13.2" x14ac:dyDescent="0.25">
      <c r="A38" s="161"/>
      <c r="B38" s="143"/>
      <c r="C38" s="143"/>
      <c r="D38" s="143"/>
      <c r="E38" s="143"/>
      <c r="F38" s="143"/>
      <c r="G38" s="143"/>
    </row>
    <row r="39" spans="1:7" ht="13.2" x14ac:dyDescent="0.25">
      <c r="A39" s="161"/>
      <c r="B39" s="143"/>
      <c r="C39" s="143"/>
      <c r="D39" s="143"/>
      <c r="E39" s="143"/>
      <c r="F39" s="143"/>
      <c r="G39" s="143"/>
    </row>
    <row r="40" spans="1:7" ht="13.2" x14ac:dyDescent="0.25">
      <c r="A40" s="161"/>
      <c r="B40" s="143"/>
      <c r="C40" s="143"/>
      <c r="D40" s="143"/>
      <c r="E40" s="143"/>
      <c r="F40" s="143"/>
      <c r="G40" s="143"/>
    </row>
    <row r="41" spans="1:7" ht="13.2" x14ac:dyDescent="0.25">
      <c r="A41" s="161"/>
      <c r="B41" s="143"/>
      <c r="C41" s="143"/>
      <c r="D41" s="143"/>
      <c r="E41" s="143"/>
      <c r="F41" s="143"/>
      <c r="G41" s="143"/>
    </row>
    <row r="42" spans="1:7" ht="13.2" x14ac:dyDescent="0.25">
      <c r="A42" s="161"/>
      <c r="B42" s="143"/>
      <c r="C42" s="143"/>
      <c r="D42" s="143"/>
      <c r="E42" s="143"/>
      <c r="F42" s="143"/>
      <c r="G42" s="143"/>
    </row>
    <row r="43" spans="1:7" ht="13.2" x14ac:dyDescent="0.25">
      <c r="A43" s="161"/>
      <c r="B43" s="143"/>
      <c r="C43" s="143"/>
      <c r="D43" s="143"/>
      <c r="E43" s="143"/>
      <c r="F43" s="143"/>
      <c r="G43" s="143"/>
    </row>
    <row r="44" spans="1:7" ht="13.2" x14ac:dyDescent="0.25">
      <c r="A44" s="161"/>
      <c r="B44" s="143"/>
      <c r="C44" s="143"/>
      <c r="D44" s="143"/>
      <c r="E44" s="143"/>
      <c r="F44" s="143"/>
      <c r="G44" s="143"/>
    </row>
    <row r="45" spans="1:7" ht="13.2" x14ac:dyDescent="0.25">
      <c r="A45" s="161"/>
      <c r="B45" s="143"/>
      <c r="C45" s="143"/>
      <c r="D45" s="143"/>
      <c r="E45" s="143"/>
      <c r="F45" s="143"/>
      <c r="G45" s="143"/>
    </row>
    <row r="46" spans="1:7" ht="13.2" x14ac:dyDescent="0.25">
      <c r="A46" s="161"/>
      <c r="B46" s="143"/>
      <c r="C46" s="143"/>
      <c r="D46" s="143"/>
      <c r="E46" s="143"/>
      <c r="F46" s="143"/>
      <c r="G46" s="143"/>
    </row>
    <row r="47" spans="1:7" ht="13.2" x14ac:dyDescent="0.25">
      <c r="A47" s="161"/>
      <c r="B47" s="143"/>
      <c r="C47" s="143"/>
      <c r="D47" s="143"/>
      <c r="E47" s="143"/>
      <c r="F47" s="143"/>
      <c r="G47" s="143"/>
    </row>
    <row r="48" spans="1:7" ht="13.2" x14ac:dyDescent="0.25">
      <c r="A48" s="161"/>
      <c r="B48" s="143"/>
      <c r="C48" s="143"/>
      <c r="D48" s="143"/>
      <c r="E48" s="143"/>
      <c r="F48" s="143"/>
      <c r="G48" s="143"/>
    </row>
    <row r="49" spans="1:7" ht="13.2" x14ac:dyDescent="0.25">
      <c r="A49" s="161"/>
      <c r="B49" s="143"/>
      <c r="C49" s="143"/>
      <c r="D49" s="143"/>
      <c r="E49" s="143"/>
      <c r="F49" s="143"/>
      <c r="G49" s="143"/>
    </row>
    <row r="50" spans="1:7" ht="13.2" x14ac:dyDescent="0.25">
      <c r="A50" s="161"/>
      <c r="B50" s="143"/>
      <c r="C50" s="143"/>
      <c r="D50" s="143"/>
      <c r="E50" s="143"/>
      <c r="F50" s="143"/>
      <c r="G50" s="143"/>
    </row>
    <row r="51" spans="1:7" ht="13.2" x14ac:dyDescent="0.25">
      <c r="A51" s="161"/>
      <c r="B51" s="143"/>
      <c r="C51" s="143"/>
      <c r="D51" s="143"/>
      <c r="E51" s="143"/>
      <c r="F51" s="143"/>
      <c r="G51" s="143"/>
    </row>
    <row r="52" spans="1:7" ht="13.2" x14ac:dyDescent="0.25">
      <c r="A52" s="161"/>
      <c r="B52" s="143"/>
      <c r="C52" s="143"/>
      <c r="D52" s="143"/>
      <c r="E52" s="143"/>
      <c r="F52" s="143"/>
      <c r="G52" s="143"/>
    </row>
    <row r="53" spans="1:7" ht="13.2" x14ac:dyDescent="0.25">
      <c r="A53" s="161"/>
      <c r="B53" s="143"/>
      <c r="C53" s="143"/>
      <c r="D53" s="143"/>
      <c r="E53" s="143"/>
      <c r="F53" s="143"/>
      <c r="G53" s="143"/>
    </row>
    <row r="54" spans="1:7" ht="13.2" x14ac:dyDescent="0.25">
      <c r="A54" s="161"/>
      <c r="B54" s="143"/>
      <c r="C54" s="143"/>
      <c r="D54" s="143"/>
      <c r="E54" s="143"/>
      <c r="F54" s="143"/>
      <c r="G54" s="143"/>
    </row>
    <row r="55" spans="1:7" ht="13.2" x14ac:dyDescent="0.25">
      <c r="A55" s="161"/>
      <c r="B55" s="143"/>
      <c r="C55" s="143"/>
      <c r="D55" s="143"/>
      <c r="E55" s="143"/>
      <c r="F55" s="143"/>
      <c r="G55" s="143"/>
    </row>
    <row r="56" spans="1:7" ht="13.2" x14ac:dyDescent="0.25">
      <c r="A56" s="161"/>
      <c r="B56" s="143"/>
      <c r="C56" s="143"/>
      <c r="D56" s="143"/>
      <c r="E56" s="143"/>
      <c r="F56" s="143"/>
      <c r="G56" s="143"/>
    </row>
    <row r="57" spans="1:7" ht="13.2" x14ac:dyDescent="0.25">
      <c r="A57" s="161"/>
      <c r="B57" s="143"/>
      <c r="C57" s="143"/>
      <c r="D57" s="143"/>
      <c r="E57" s="143"/>
      <c r="F57" s="143"/>
      <c r="G57" s="143"/>
    </row>
    <row r="58" spans="1:7" ht="13.2" x14ac:dyDescent="0.25">
      <c r="A58" s="161"/>
      <c r="B58" s="143"/>
      <c r="C58" s="143"/>
      <c r="D58" s="143"/>
      <c r="E58" s="143"/>
      <c r="F58" s="143"/>
      <c r="G58" s="143"/>
    </row>
    <row r="59" spans="1:7" ht="13.2" x14ac:dyDescent="0.25">
      <c r="A59" s="161"/>
      <c r="B59" s="143"/>
      <c r="C59" s="143"/>
      <c r="D59" s="143"/>
      <c r="E59" s="143"/>
      <c r="F59" s="143"/>
      <c r="G59" s="143"/>
    </row>
    <row r="60" spans="1:7" ht="13.2" x14ac:dyDescent="0.25">
      <c r="A60" s="161"/>
      <c r="B60" s="143"/>
      <c r="C60" s="143"/>
      <c r="D60" s="143"/>
      <c r="E60" s="143"/>
      <c r="F60" s="143"/>
      <c r="G60" s="143"/>
    </row>
    <row r="61" spans="1:7" ht="13.2" x14ac:dyDescent="0.25">
      <c r="A61" s="161"/>
      <c r="B61" s="143"/>
      <c r="C61" s="143"/>
      <c r="D61" s="143"/>
      <c r="E61" s="143"/>
      <c r="F61" s="143"/>
      <c r="G61" s="143"/>
    </row>
    <row r="62" spans="1:7" ht="13.2" x14ac:dyDescent="0.25">
      <c r="A62" s="161"/>
      <c r="B62" s="143"/>
      <c r="C62" s="143"/>
      <c r="D62" s="143"/>
      <c r="E62" s="143"/>
      <c r="F62" s="143"/>
      <c r="G62" s="143"/>
    </row>
    <row r="63" spans="1:7" ht="13.2" x14ac:dyDescent="0.25">
      <c r="A63" s="161"/>
      <c r="B63" s="143"/>
      <c r="C63" s="143"/>
      <c r="D63" s="143"/>
      <c r="E63" s="143"/>
      <c r="F63" s="143"/>
      <c r="G63" s="143"/>
    </row>
    <row r="64" spans="1:7" ht="13.2" x14ac:dyDescent="0.25">
      <c r="A64" s="161"/>
      <c r="B64" s="143"/>
      <c r="C64" s="143"/>
      <c r="D64" s="143"/>
      <c r="E64" s="143"/>
      <c r="F64" s="143"/>
      <c r="G64" s="143"/>
    </row>
    <row r="65" spans="1:7" ht="13.2" x14ac:dyDescent="0.25">
      <c r="A65" s="161"/>
      <c r="B65" s="143"/>
      <c r="C65" s="143"/>
      <c r="D65" s="143"/>
      <c r="E65" s="143"/>
      <c r="F65" s="143"/>
      <c r="G65" s="143"/>
    </row>
    <row r="66" spans="1:7" ht="13.2" x14ac:dyDescent="0.25">
      <c r="A66" s="161"/>
      <c r="B66" s="143"/>
      <c r="C66" s="143"/>
      <c r="D66" s="143"/>
      <c r="E66" s="143"/>
      <c r="F66" s="143"/>
      <c r="G66" s="143"/>
    </row>
    <row r="67" spans="1:7" ht="13.2" x14ac:dyDescent="0.25">
      <c r="A67" s="161"/>
      <c r="B67" s="143"/>
      <c r="C67" s="143"/>
      <c r="D67" s="143"/>
      <c r="E67" s="143"/>
      <c r="F67" s="143"/>
      <c r="G67" s="143"/>
    </row>
    <row r="68" spans="1:7" ht="13.2" x14ac:dyDescent="0.25">
      <c r="A68" s="161"/>
      <c r="B68" s="143"/>
      <c r="C68" s="143"/>
      <c r="D68" s="143"/>
      <c r="E68" s="143"/>
      <c r="F68" s="143"/>
      <c r="G68" s="143"/>
    </row>
    <row r="69" spans="1:7" ht="13.2" x14ac:dyDescent="0.25">
      <c r="A69" s="161"/>
      <c r="B69" s="143"/>
      <c r="C69" s="143"/>
      <c r="D69" s="143"/>
      <c r="E69" s="143"/>
      <c r="F69" s="143"/>
      <c r="G69" s="143"/>
    </row>
    <row r="70" spans="1:7" ht="13.2" x14ac:dyDescent="0.25">
      <c r="A70" s="161"/>
      <c r="B70" s="143"/>
      <c r="C70" s="143"/>
      <c r="D70" s="143"/>
      <c r="E70" s="143"/>
      <c r="F70" s="143"/>
      <c r="G70" s="143"/>
    </row>
    <row r="71" spans="1:7" ht="13.2" x14ac:dyDescent="0.25">
      <c r="A71" s="161"/>
      <c r="B71" s="143"/>
      <c r="C71" s="143"/>
      <c r="D71" s="143"/>
      <c r="E71" s="143"/>
      <c r="F71" s="143"/>
      <c r="G71" s="143"/>
    </row>
    <row r="72" spans="1:7" ht="13.2" x14ac:dyDescent="0.25">
      <c r="A72" s="161"/>
      <c r="B72" s="143"/>
      <c r="C72" s="143"/>
      <c r="D72" s="143"/>
      <c r="E72" s="143"/>
      <c r="F72" s="143"/>
      <c r="G72" s="143"/>
    </row>
    <row r="73" spans="1:7" ht="13.2" x14ac:dyDescent="0.25">
      <c r="A73" s="161"/>
      <c r="B73" s="143"/>
      <c r="C73" s="143"/>
      <c r="D73" s="143"/>
      <c r="E73" s="143"/>
      <c r="F73" s="143"/>
      <c r="G73" s="143"/>
    </row>
    <row r="74" spans="1:7" ht="13.2" x14ac:dyDescent="0.25">
      <c r="A74" s="161"/>
      <c r="B74" s="143"/>
      <c r="C74" s="143"/>
      <c r="D74" s="143"/>
      <c r="E74" s="143"/>
      <c r="F74" s="143"/>
      <c r="G74" s="143"/>
    </row>
    <row r="75" spans="1:7" ht="13.2" x14ac:dyDescent="0.25">
      <c r="A75" s="161"/>
      <c r="B75" s="143"/>
      <c r="C75" s="143"/>
      <c r="D75" s="143"/>
      <c r="E75" s="143"/>
      <c r="F75" s="143"/>
      <c r="G75" s="143"/>
    </row>
    <row r="76" spans="1:7" ht="13.2" x14ac:dyDescent="0.25">
      <c r="A76" s="161"/>
      <c r="B76" s="143"/>
      <c r="C76" s="143"/>
      <c r="D76" s="143"/>
      <c r="E76" s="143"/>
      <c r="F76" s="143"/>
      <c r="G76" s="143"/>
    </row>
    <row r="77" spans="1:7" ht="13.2" x14ac:dyDescent="0.25">
      <c r="A77" s="161"/>
      <c r="B77" s="143"/>
      <c r="C77" s="143"/>
      <c r="D77" s="143"/>
      <c r="E77" s="143"/>
      <c r="F77" s="143"/>
      <c r="G77" s="143"/>
    </row>
    <row r="78" spans="1:7" ht="13.2" x14ac:dyDescent="0.25">
      <c r="A78" s="161"/>
      <c r="B78" s="143"/>
      <c r="C78" s="143"/>
      <c r="D78" s="143"/>
      <c r="E78" s="143"/>
      <c r="F78" s="143"/>
      <c r="G78" s="143"/>
    </row>
    <row r="79" spans="1:7" ht="13.2" x14ac:dyDescent="0.25">
      <c r="A79" s="161"/>
      <c r="B79" s="143"/>
      <c r="C79" s="143"/>
      <c r="D79" s="143"/>
      <c r="E79" s="143"/>
      <c r="F79" s="143"/>
      <c r="G79" s="143"/>
    </row>
    <row r="80" spans="1:7" ht="13.2" x14ac:dyDescent="0.25">
      <c r="A80" s="161"/>
      <c r="B80" s="143"/>
      <c r="C80" s="143"/>
      <c r="D80" s="143"/>
      <c r="E80" s="143"/>
      <c r="F80" s="143"/>
      <c r="G80" s="143"/>
    </row>
    <row r="81" spans="1:7" ht="13.2" x14ac:dyDescent="0.25">
      <c r="A81" s="161"/>
      <c r="B81" s="143"/>
      <c r="C81" s="143"/>
      <c r="D81" s="143"/>
      <c r="E81" s="143"/>
      <c r="F81" s="143"/>
      <c r="G81" s="143"/>
    </row>
    <row r="82" spans="1:7" ht="13.2" x14ac:dyDescent="0.25">
      <c r="A82" s="161"/>
      <c r="B82" s="143"/>
      <c r="C82" s="143"/>
      <c r="D82" s="143"/>
      <c r="E82" s="143"/>
      <c r="F82" s="143"/>
      <c r="G82" s="143"/>
    </row>
    <row r="83" spans="1:7" ht="13.2" x14ac:dyDescent="0.25">
      <c r="A83" s="161"/>
      <c r="B83" s="143"/>
      <c r="C83" s="143"/>
      <c r="D83" s="143"/>
      <c r="E83" s="143"/>
      <c r="F83" s="143"/>
      <c r="G83" s="143"/>
    </row>
    <row r="84" spans="1:7" ht="13.2" x14ac:dyDescent="0.25">
      <c r="A84" s="161"/>
      <c r="B84" s="143"/>
      <c r="C84" s="143"/>
      <c r="D84" s="143"/>
      <c r="E84" s="143"/>
      <c r="F84" s="143"/>
      <c r="G84" s="143"/>
    </row>
    <row r="85" spans="1:7" ht="13.2" x14ac:dyDescent="0.25">
      <c r="A85" s="161"/>
      <c r="B85" s="143"/>
      <c r="C85" s="143"/>
      <c r="D85" s="143"/>
      <c r="E85" s="143"/>
      <c r="F85" s="143"/>
      <c r="G85" s="143"/>
    </row>
    <row r="86" spans="1:7" ht="13.2" x14ac:dyDescent="0.25">
      <c r="A86" s="161"/>
      <c r="B86" s="143"/>
      <c r="C86" s="143"/>
      <c r="D86" s="143"/>
      <c r="E86" s="143"/>
      <c r="F86" s="143"/>
      <c r="G86" s="143"/>
    </row>
    <row r="87" spans="1:7" ht="13.2" x14ac:dyDescent="0.25">
      <c r="A87" s="161"/>
      <c r="B87" s="143"/>
      <c r="C87" s="143"/>
      <c r="D87" s="143"/>
      <c r="E87" s="143"/>
      <c r="F87" s="143"/>
      <c r="G87" s="143"/>
    </row>
    <row r="88" spans="1:7" ht="13.2" x14ac:dyDescent="0.25">
      <c r="A88" s="161"/>
      <c r="B88" s="143"/>
      <c r="C88" s="143"/>
      <c r="D88" s="143"/>
      <c r="E88" s="143"/>
      <c r="F88" s="143"/>
      <c r="G88" s="143"/>
    </row>
    <row r="89" spans="1:7" ht="13.2" x14ac:dyDescent="0.25">
      <c r="A89" s="161"/>
      <c r="B89" s="143"/>
      <c r="C89" s="143"/>
      <c r="D89" s="143"/>
      <c r="E89" s="143"/>
      <c r="F89" s="143"/>
      <c r="G89" s="143"/>
    </row>
    <row r="90" spans="1:7" ht="13.2" x14ac:dyDescent="0.25">
      <c r="A90" s="161"/>
      <c r="B90" s="143"/>
      <c r="C90" s="143"/>
      <c r="D90" s="143"/>
      <c r="E90" s="143"/>
      <c r="F90" s="143"/>
      <c r="G90" s="143"/>
    </row>
    <row r="91" spans="1:7" ht="13.2" x14ac:dyDescent="0.25">
      <c r="A91" s="161"/>
      <c r="B91" s="143"/>
      <c r="C91" s="143"/>
      <c r="D91" s="143"/>
      <c r="E91" s="143"/>
      <c r="F91" s="143"/>
      <c r="G91" s="143"/>
    </row>
    <row r="92" spans="1:7" ht="13.2" x14ac:dyDescent="0.25">
      <c r="A92" s="161"/>
      <c r="B92" s="143"/>
      <c r="C92" s="143"/>
      <c r="D92" s="143"/>
      <c r="E92" s="143"/>
      <c r="F92" s="143"/>
      <c r="G92" s="143"/>
    </row>
    <row r="93" spans="1:7" ht="13.2" x14ac:dyDescent="0.25">
      <c r="A93" s="161"/>
      <c r="B93" s="143"/>
      <c r="C93" s="143"/>
      <c r="D93" s="143"/>
      <c r="E93" s="143"/>
      <c r="F93" s="143"/>
      <c r="G93" s="143"/>
    </row>
    <row r="94" spans="1:7" ht="13.2" x14ac:dyDescent="0.25">
      <c r="A94" s="161"/>
      <c r="B94" s="143"/>
      <c r="C94" s="143"/>
      <c r="D94" s="143"/>
      <c r="E94" s="143"/>
      <c r="F94" s="143"/>
      <c r="G94" s="143"/>
    </row>
    <row r="95" spans="1:7" ht="13.2" x14ac:dyDescent="0.25">
      <c r="A95" s="161"/>
      <c r="B95" s="143"/>
      <c r="C95" s="143"/>
      <c r="D95" s="143"/>
      <c r="E95" s="143"/>
      <c r="F95" s="143"/>
      <c r="G95" s="143"/>
    </row>
    <row r="96" spans="1:7" ht="13.2" x14ac:dyDescent="0.25">
      <c r="A96" s="161"/>
      <c r="B96" s="143"/>
      <c r="C96" s="143"/>
      <c r="D96" s="143"/>
      <c r="E96" s="143"/>
      <c r="F96" s="143"/>
      <c r="G96" s="143"/>
    </row>
    <row r="97" spans="1:7" ht="13.2" x14ac:dyDescent="0.25">
      <c r="A97" s="161"/>
      <c r="B97" s="143"/>
      <c r="C97" s="143"/>
      <c r="D97" s="143"/>
      <c r="E97" s="143"/>
      <c r="F97" s="143"/>
      <c r="G97" s="143"/>
    </row>
    <row r="98" spans="1:7" ht="13.2" x14ac:dyDescent="0.25">
      <c r="A98" s="161"/>
      <c r="B98" s="143"/>
      <c r="C98" s="143"/>
      <c r="D98" s="143"/>
      <c r="E98" s="143"/>
      <c r="F98" s="143"/>
      <c r="G98" s="143"/>
    </row>
    <row r="99" spans="1:7" ht="13.2" x14ac:dyDescent="0.25">
      <c r="A99" s="161"/>
      <c r="B99" s="143"/>
      <c r="C99" s="143"/>
      <c r="D99" s="143"/>
      <c r="E99" s="143"/>
      <c r="F99" s="143"/>
      <c r="G99" s="143"/>
    </row>
    <row r="100" spans="1:7" ht="13.2" x14ac:dyDescent="0.25">
      <c r="A100" s="161"/>
      <c r="B100" s="143"/>
      <c r="C100" s="143"/>
      <c r="D100" s="143"/>
      <c r="E100" s="143"/>
      <c r="F100" s="143"/>
      <c r="G100" s="143"/>
    </row>
    <row r="101" spans="1:7" ht="13.2" x14ac:dyDescent="0.25">
      <c r="A101" s="161"/>
      <c r="B101" s="143"/>
      <c r="C101" s="143"/>
      <c r="D101" s="143"/>
      <c r="E101" s="143"/>
      <c r="F101" s="143"/>
      <c r="G101" s="143"/>
    </row>
    <row r="102" spans="1:7" ht="13.2" x14ac:dyDescent="0.25">
      <c r="A102" s="161"/>
      <c r="B102" s="143"/>
      <c r="C102" s="143"/>
      <c r="D102" s="143"/>
      <c r="E102" s="143"/>
      <c r="F102" s="143"/>
      <c r="G102" s="143"/>
    </row>
    <row r="103" spans="1:7" ht="13.2" x14ac:dyDescent="0.25">
      <c r="A103" s="161"/>
      <c r="B103" s="143"/>
      <c r="C103" s="143"/>
      <c r="D103" s="143"/>
      <c r="E103" s="143"/>
      <c r="F103" s="143"/>
      <c r="G103" s="143"/>
    </row>
    <row r="104" spans="1:7" ht="13.2" x14ac:dyDescent="0.25">
      <c r="A104" s="161"/>
      <c r="B104" s="143"/>
      <c r="C104" s="143"/>
      <c r="D104" s="143"/>
      <c r="E104" s="143"/>
      <c r="F104" s="143"/>
      <c r="G104" s="143"/>
    </row>
    <row r="105" spans="1:7" ht="13.2" x14ac:dyDescent="0.25">
      <c r="A105" s="161"/>
      <c r="B105" s="143"/>
      <c r="C105" s="143"/>
      <c r="D105" s="143"/>
      <c r="E105" s="143"/>
      <c r="F105" s="143"/>
      <c r="G105" s="143"/>
    </row>
    <row r="106" spans="1:7" ht="13.2" x14ac:dyDescent="0.25">
      <c r="A106" s="161"/>
      <c r="B106" s="143"/>
      <c r="C106" s="143"/>
      <c r="D106" s="143"/>
      <c r="E106" s="143"/>
      <c r="F106" s="143"/>
      <c r="G106" s="143"/>
    </row>
    <row r="107" spans="1:7" ht="13.2" x14ac:dyDescent="0.25">
      <c r="A107" s="161"/>
      <c r="B107" s="143"/>
      <c r="C107" s="143"/>
      <c r="D107" s="143"/>
      <c r="E107" s="143"/>
      <c r="F107" s="143"/>
      <c r="G107" s="143"/>
    </row>
    <row r="108" spans="1:7" ht="13.2" x14ac:dyDescent="0.25">
      <c r="A108" s="161"/>
      <c r="B108" s="143"/>
      <c r="C108" s="143"/>
      <c r="D108" s="143"/>
      <c r="E108" s="143"/>
      <c r="F108" s="143"/>
      <c r="G108" s="143"/>
    </row>
    <row r="109" spans="1:7" ht="13.2" x14ac:dyDescent="0.25">
      <c r="A109" s="161"/>
      <c r="B109" s="143"/>
      <c r="C109" s="143"/>
      <c r="D109" s="143"/>
      <c r="E109" s="143"/>
      <c r="F109" s="143"/>
      <c r="G109" s="143"/>
    </row>
    <row r="110" spans="1:7" ht="13.2" x14ac:dyDescent="0.25">
      <c r="A110" s="161"/>
      <c r="B110" s="143"/>
      <c r="C110" s="143"/>
      <c r="D110" s="143"/>
      <c r="E110" s="143"/>
      <c r="F110" s="143"/>
      <c r="G110" s="143"/>
    </row>
    <row r="111" spans="1:7" ht="13.2" x14ac:dyDescent="0.25">
      <c r="A111" s="161"/>
      <c r="B111" s="143"/>
      <c r="C111" s="143"/>
      <c r="D111" s="143"/>
      <c r="E111" s="143"/>
      <c r="F111" s="143"/>
      <c r="G111" s="143"/>
    </row>
    <row r="112" spans="1:7" ht="13.2" x14ac:dyDescent="0.25">
      <c r="A112" s="161"/>
      <c r="B112" s="143"/>
      <c r="C112" s="143"/>
      <c r="D112" s="143"/>
      <c r="E112" s="143"/>
      <c r="F112" s="143"/>
      <c r="G112" s="143"/>
    </row>
    <row r="113" spans="1:7" ht="13.2" x14ac:dyDescent="0.25">
      <c r="A113" s="161"/>
      <c r="B113" s="143"/>
      <c r="C113" s="143"/>
      <c r="D113" s="143"/>
      <c r="E113" s="143"/>
      <c r="F113" s="143"/>
      <c r="G113" s="143"/>
    </row>
    <row r="114" spans="1:7" ht="13.2" x14ac:dyDescent="0.25">
      <c r="A114" s="161"/>
      <c r="B114" s="143"/>
      <c r="C114" s="143"/>
      <c r="D114" s="143"/>
      <c r="E114" s="143"/>
      <c r="F114" s="143"/>
      <c r="G114" s="143"/>
    </row>
    <row r="115" spans="1:7" ht="13.2" x14ac:dyDescent="0.25">
      <c r="A115" s="161"/>
      <c r="B115" s="143"/>
      <c r="C115" s="143"/>
      <c r="D115" s="143"/>
      <c r="E115" s="143"/>
      <c r="F115" s="143"/>
      <c r="G115" s="143"/>
    </row>
    <row r="116" spans="1:7" ht="13.2" x14ac:dyDescent="0.25">
      <c r="A116" s="161"/>
      <c r="B116" s="143"/>
      <c r="C116" s="143"/>
      <c r="D116" s="143"/>
      <c r="E116" s="143"/>
      <c r="F116" s="143"/>
      <c r="G116" s="143"/>
    </row>
    <row r="117" spans="1:7" ht="13.2" x14ac:dyDescent="0.25">
      <c r="A117" s="161"/>
      <c r="B117" s="143"/>
      <c r="C117" s="143"/>
      <c r="D117" s="143"/>
      <c r="E117" s="143"/>
      <c r="F117" s="143"/>
      <c r="G117" s="143"/>
    </row>
    <row r="118" spans="1:7" ht="13.2" x14ac:dyDescent="0.25">
      <c r="A118" s="161"/>
      <c r="B118" s="143"/>
      <c r="C118" s="143"/>
      <c r="D118" s="143"/>
      <c r="E118" s="143"/>
      <c r="F118" s="143"/>
      <c r="G118" s="143"/>
    </row>
    <row r="119" spans="1:7" ht="13.2" x14ac:dyDescent="0.25">
      <c r="A119" s="161"/>
      <c r="B119" s="143"/>
      <c r="C119" s="143"/>
      <c r="D119" s="143"/>
      <c r="E119" s="143"/>
      <c r="F119" s="143"/>
      <c r="G119" s="143"/>
    </row>
    <row r="120" spans="1:7" ht="13.2" x14ac:dyDescent="0.25">
      <c r="A120" s="161"/>
      <c r="B120" s="143"/>
      <c r="C120" s="143"/>
      <c r="D120" s="143"/>
      <c r="E120" s="143"/>
      <c r="F120" s="143"/>
      <c r="G120" s="143"/>
    </row>
    <row r="121" spans="1:7" ht="13.2" x14ac:dyDescent="0.25">
      <c r="A121" s="161"/>
      <c r="B121" s="143"/>
      <c r="C121" s="143"/>
      <c r="D121" s="143"/>
      <c r="E121" s="143"/>
      <c r="F121" s="143"/>
      <c r="G121" s="143"/>
    </row>
    <row r="122" spans="1:7" ht="13.2" x14ac:dyDescent="0.25">
      <c r="A122" s="161"/>
      <c r="B122" s="143"/>
      <c r="C122" s="143"/>
      <c r="D122" s="143"/>
      <c r="E122" s="143"/>
      <c r="F122" s="143"/>
      <c r="G122" s="143"/>
    </row>
    <row r="123" spans="1:7" ht="13.2" x14ac:dyDescent="0.25">
      <c r="A123" s="161"/>
      <c r="B123" s="143"/>
      <c r="C123" s="143"/>
      <c r="D123" s="143"/>
      <c r="E123" s="143"/>
      <c r="F123" s="143"/>
      <c r="G123" s="143"/>
    </row>
    <row r="124" spans="1:7" ht="13.2" x14ac:dyDescent="0.25">
      <c r="A124" s="161"/>
      <c r="B124" s="143"/>
      <c r="C124" s="143"/>
      <c r="D124" s="143"/>
      <c r="E124" s="143"/>
      <c r="F124" s="143"/>
      <c r="G124" s="143"/>
    </row>
    <row r="125" spans="1:7" ht="13.2" x14ac:dyDescent="0.25">
      <c r="A125" s="161"/>
      <c r="B125" s="143"/>
      <c r="C125" s="143"/>
      <c r="D125" s="143"/>
      <c r="E125" s="143"/>
      <c r="F125" s="143"/>
      <c r="G125" s="143"/>
    </row>
    <row r="126" spans="1:7" ht="13.2" x14ac:dyDescent="0.25">
      <c r="A126" s="161"/>
      <c r="B126" s="143"/>
      <c r="C126" s="143"/>
      <c r="D126" s="143"/>
      <c r="E126" s="143"/>
      <c r="F126" s="143"/>
      <c r="G126" s="143"/>
    </row>
    <row r="127" spans="1:7" ht="13.2" x14ac:dyDescent="0.25">
      <c r="A127" s="161"/>
      <c r="B127" s="143"/>
      <c r="C127" s="143"/>
      <c r="D127" s="143"/>
      <c r="E127" s="143"/>
      <c r="F127" s="143"/>
      <c r="G127" s="143"/>
    </row>
    <row r="128" spans="1:7" ht="13.2" x14ac:dyDescent="0.25">
      <c r="A128" s="161"/>
      <c r="B128" s="143"/>
      <c r="C128" s="143"/>
      <c r="D128" s="143"/>
      <c r="E128" s="143"/>
      <c r="F128" s="143"/>
      <c r="G128" s="143"/>
    </row>
    <row r="129" spans="1:7" ht="13.2" x14ac:dyDescent="0.25">
      <c r="A129" s="161"/>
      <c r="B129" s="143"/>
      <c r="C129" s="143"/>
      <c r="D129" s="143"/>
      <c r="E129" s="143"/>
      <c r="F129" s="143"/>
      <c r="G129" s="143"/>
    </row>
    <row r="130" spans="1:7" ht="13.2" x14ac:dyDescent="0.25">
      <c r="A130" s="161"/>
      <c r="B130" s="143"/>
      <c r="C130" s="143"/>
      <c r="D130" s="143"/>
      <c r="E130" s="143"/>
      <c r="F130" s="143"/>
      <c r="G130" s="143"/>
    </row>
    <row r="131" spans="1:7" ht="13.2" x14ac:dyDescent="0.25">
      <c r="A131" s="161"/>
      <c r="B131" s="143"/>
      <c r="C131" s="143"/>
      <c r="D131" s="143"/>
      <c r="E131" s="143"/>
      <c r="F131" s="143"/>
      <c r="G131" s="143"/>
    </row>
    <row r="132" spans="1:7" ht="13.2" x14ac:dyDescent="0.25">
      <c r="A132" s="161"/>
      <c r="B132" s="143"/>
      <c r="C132" s="143"/>
      <c r="D132" s="143"/>
      <c r="E132" s="143"/>
      <c r="F132" s="143"/>
      <c r="G132" s="143"/>
    </row>
    <row r="133" spans="1:7" ht="13.2" x14ac:dyDescent="0.25">
      <c r="A133" s="161"/>
      <c r="B133" s="143"/>
      <c r="C133" s="143"/>
      <c r="D133" s="143"/>
      <c r="E133" s="143"/>
      <c r="F133" s="143"/>
      <c r="G133" s="143"/>
    </row>
    <row r="134" spans="1:7" ht="13.2" x14ac:dyDescent="0.25">
      <c r="A134" s="161"/>
      <c r="B134" s="143"/>
      <c r="C134" s="143"/>
      <c r="D134" s="143"/>
      <c r="E134" s="143"/>
      <c r="F134" s="143"/>
      <c r="G134" s="143"/>
    </row>
    <row r="135" spans="1:7" ht="13.2" x14ac:dyDescent="0.25">
      <c r="A135" s="161"/>
      <c r="B135" s="143"/>
      <c r="C135" s="143"/>
      <c r="D135" s="143"/>
      <c r="E135" s="143"/>
      <c r="F135" s="143"/>
      <c r="G135" s="143"/>
    </row>
    <row r="136" spans="1:7" ht="13.2" x14ac:dyDescent="0.25">
      <c r="A136" s="161"/>
      <c r="B136" s="143"/>
      <c r="C136" s="143"/>
      <c r="D136" s="143"/>
      <c r="E136" s="143"/>
      <c r="F136" s="143"/>
      <c r="G136" s="143"/>
    </row>
    <row r="137" spans="1:7" ht="13.2" x14ac:dyDescent="0.25">
      <c r="A137" s="161"/>
      <c r="B137" s="143"/>
      <c r="C137" s="143"/>
      <c r="D137" s="143"/>
      <c r="E137" s="143"/>
      <c r="F137" s="143"/>
      <c r="G137" s="143"/>
    </row>
    <row r="138" spans="1:7" ht="13.2" x14ac:dyDescent="0.25">
      <c r="A138" s="161"/>
      <c r="B138" s="143"/>
      <c r="C138" s="143"/>
      <c r="D138" s="143"/>
      <c r="E138" s="143"/>
      <c r="F138" s="143"/>
      <c r="G138" s="143"/>
    </row>
    <row r="139" spans="1:7" ht="13.2" x14ac:dyDescent="0.25">
      <c r="A139" s="161"/>
      <c r="B139" s="143"/>
      <c r="C139" s="143"/>
      <c r="D139" s="143"/>
      <c r="E139" s="143"/>
      <c r="F139" s="143"/>
      <c r="G139" s="143"/>
    </row>
    <row r="140" spans="1:7" ht="13.2" x14ac:dyDescent="0.25">
      <c r="A140" s="161"/>
      <c r="B140" s="143"/>
      <c r="C140" s="143"/>
      <c r="D140" s="143"/>
      <c r="E140" s="143"/>
      <c r="F140" s="143"/>
      <c r="G140" s="143"/>
    </row>
    <row r="141" spans="1:7" ht="13.2" x14ac:dyDescent="0.25">
      <c r="A141" s="161"/>
      <c r="B141" s="143"/>
      <c r="C141" s="143"/>
      <c r="D141" s="143"/>
      <c r="E141" s="143"/>
      <c r="F141" s="143"/>
      <c r="G141" s="143"/>
    </row>
    <row r="142" spans="1:7" ht="13.2" x14ac:dyDescent="0.25">
      <c r="A142" s="161"/>
      <c r="B142" s="143"/>
      <c r="C142" s="143"/>
      <c r="D142" s="143"/>
      <c r="E142" s="143"/>
      <c r="F142" s="143"/>
      <c r="G142" s="143"/>
    </row>
    <row r="143" spans="1:7" ht="13.2" x14ac:dyDescent="0.25">
      <c r="A143" s="161"/>
      <c r="B143" s="143"/>
      <c r="C143" s="143"/>
      <c r="D143" s="143"/>
      <c r="E143" s="143"/>
      <c r="F143" s="143"/>
      <c r="G143" s="143"/>
    </row>
    <row r="144" spans="1:7" ht="13.2" x14ac:dyDescent="0.25">
      <c r="A144" s="161"/>
      <c r="B144" s="143"/>
      <c r="C144" s="143"/>
      <c r="D144" s="143"/>
      <c r="E144" s="143"/>
      <c r="F144" s="143"/>
      <c r="G144" s="143"/>
    </row>
    <row r="145" spans="1:7" ht="13.2" x14ac:dyDescent="0.25">
      <c r="A145" s="161"/>
      <c r="B145" s="143"/>
      <c r="C145" s="143"/>
      <c r="D145" s="143"/>
      <c r="E145" s="143"/>
      <c r="F145" s="143"/>
      <c r="G145" s="143"/>
    </row>
    <row r="146" spans="1:7" ht="13.2" x14ac:dyDescent="0.25">
      <c r="A146" s="161"/>
      <c r="B146" s="143"/>
      <c r="C146" s="143"/>
      <c r="D146" s="143"/>
      <c r="E146" s="143"/>
      <c r="F146" s="143"/>
      <c r="G146" s="143"/>
    </row>
    <row r="147" spans="1:7" ht="13.2" x14ac:dyDescent="0.25">
      <c r="A147" s="161"/>
      <c r="B147" s="143"/>
      <c r="C147" s="143"/>
      <c r="D147" s="143"/>
      <c r="E147" s="143"/>
      <c r="F147" s="143"/>
      <c r="G147" s="143"/>
    </row>
    <row r="148" spans="1:7" ht="13.2" x14ac:dyDescent="0.25">
      <c r="A148" s="161"/>
      <c r="B148" s="143"/>
      <c r="C148" s="143"/>
      <c r="D148" s="143"/>
      <c r="E148" s="143"/>
      <c r="F148" s="143"/>
      <c r="G148" s="143"/>
    </row>
    <row r="149" spans="1:7" ht="13.2" x14ac:dyDescent="0.25">
      <c r="A149" s="161"/>
      <c r="B149" s="143"/>
      <c r="C149" s="143"/>
      <c r="D149" s="143"/>
      <c r="E149" s="143"/>
      <c r="F149" s="143"/>
      <c r="G149" s="143"/>
    </row>
    <row r="150" spans="1:7" ht="13.2" x14ac:dyDescent="0.25">
      <c r="A150" s="161"/>
      <c r="B150" s="143"/>
      <c r="C150" s="143"/>
      <c r="D150" s="143"/>
      <c r="E150" s="143"/>
      <c r="F150" s="143"/>
      <c r="G150" s="143"/>
    </row>
    <row r="151" spans="1:7" ht="13.2" x14ac:dyDescent="0.25">
      <c r="A151" s="161"/>
      <c r="B151" s="143"/>
      <c r="C151" s="143"/>
      <c r="D151" s="143"/>
      <c r="E151" s="143"/>
      <c r="F151" s="143"/>
      <c r="G151" s="143"/>
    </row>
    <row r="152" spans="1:7" ht="13.2" x14ac:dyDescent="0.25">
      <c r="A152" s="161"/>
      <c r="B152" s="143"/>
      <c r="C152" s="143"/>
      <c r="D152" s="143"/>
      <c r="E152" s="143"/>
      <c r="F152" s="143"/>
      <c r="G152" s="143"/>
    </row>
    <row r="153" spans="1:7" ht="13.2" x14ac:dyDescent="0.25">
      <c r="A153" s="161"/>
      <c r="B153" s="143"/>
      <c r="C153" s="143"/>
      <c r="D153" s="143"/>
      <c r="E153" s="143"/>
      <c r="F153" s="143"/>
      <c r="G153" s="143"/>
    </row>
    <row r="154" spans="1:7" ht="13.2" x14ac:dyDescent="0.25">
      <c r="A154" s="161"/>
      <c r="B154" s="143"/>
      <c r="C154" s="143"/>
      <c r="D154" s="143"/>
      <c r="E154" s="143"/>
      <c r="F154" s="143"/>
      <c r="G154" s="143"/>
    </row>
    <row r="155" spans="1:7" ht="13.2" x14ac:dyDescent="0.25">
      <c r="A155" s="161"/>
      <c r="B155" s="143"/>
      <c r="C155" s="143"/>
      <c r="D155" s="143"/>
      <c r="E155" s="143"/>
      <c r="F155" s="143"/>
      <c r="G155" s="143"/>
    </row>
    <row r="156" spans="1:7" ht="13.2" x14ac:dyDescent="0.25">
      <c r="A156" s="161"/>
      <c r="B156" s="143"/>
      <c r="C156" s="143"/>
      <c r="D156" s="143"/>
      <c r="E156" s="143"/>
      <c r="F156" s="143"/>
      <c r="G156" s="143"/>
    </row>
    <row r="157" spans="1:7" ht="13.2" x14ac:dyDescent="0.25">
      <c r="A157" s="161"/>
      <c r="B157" s="143"/>
      <c r="C157" s="143"/>
      <c r="D157" s="143"/>
      <c r="E157" s="143"/>
      <c r="F157" s="143"/>
      <c r="G157" s="143"/>
    </row>
    <row r="158" spans="1:7" ht="13.2" x14ac:dyDescent="0.25">
      <c r="A158" s="161"/>
      <c r="B158" s="143"/>
      <c r="C158" s="143"/>
      <c r="D158" s="143"/>
      <c r="E158" s="143"/>
      <c r="F158" s="143"/>
      <c r="G158" s="143"/>
    </row>
    <row r="159" spans="1:7" ht="13.2" x14ac:dyDescent="0.25">
      <c r="A159" s="161"/>
      <c r="B159" s="143"/>
      <c r="C159" s="143"/>
      <c r="D159" s="143"/>
      <c r="E159" s="143"/>
      <c r="F159" s="143"/>
      <c r="G159" s="143"/>
    </row>
    <row r="160" spans="1:7" ht="13.2" x14ac:dyDescent="0.25">
      <c r="A160" s="161"/>
      <c r="B160" s="143"/>
      <c r="C160" s="143"/>
      <c r="D160" s="143"/>
      <c r="E160" s="143"/>
      <c r="F160" s="143"/>
      <c r="G160" s="143"/>
    </row>
    <row r="161" spans="1:7" ht="13.2" x14ac:dyDescent="0.25">
      <c r="A161" s="161"/>
      <c r="B161" s="143"/>
      <c r="C161" s="143"/>
      <c r="D161" s="143"/>
      <c r="E161" s="143"/>
      <c r="F161" s="143"/>
      <c r="G161" s="143"/>
    </row>
    <row r="162" spans="1:7" ht="13.2" x14ac:dyDescent="0.25">
      <c r="A162" s="161"/>
      <c r="B162" s="143"/>
      <c r="C162" s="143"/>
      <c r="D162" s="143"/>
      <c r="E162" s="143"/>
      <c r="F162" s="143"/>
      <c r="G162" s="143"/>
    </row>
    <row r="163" spans="1:7" ht="13.2" x14ac:dyDescent="0.25">
      <c r="A163" s="161"/>
      <c r="B163" s="143"/>
      <c r="C163" s="143"/>
      <c r="D163" s="143"/>
      <c r="E163" s="143"/>
      <c r="F163" s="143"/>
      <c r="G163" s="143"/>
    </row>
    <row r="164" spans="1:7" ht="13.2" x14ac:dyDescent="0.25">
      <c r="A164" s="161"/>
      <c r="B164" s="143"/>
      <c r="C164" s="143"/>
      <c r="D164" s="143"/>
      <c r="E164" s="143"/>
      <c r="F164" s="143"/>
      <c r="G164" s="143"/>
    </row>
    <row r="165" spans="1:7" ht="13.2" x14ac:dyDescent="0.25">
      <c r="A165" s="161"/>
      <c r="B165" s="143"/>
      <c r="C165" s="143"/>
      <c r="D165" s="143"/>
      <c r="E165" s="143"/>
      <c r="F165" s="143"/>
      <c r="G165" s="143"/>
    </row>
    <row r="166" spans="1:7" ht="13.2" x14ac:dyDescent="0.25">
      <c r="A166" s="161"/>
      <c r="B166" s="143"/>
      <c r="C166" s="143"/>
      <c r="D166" s="143"/>
      <c r="E166" s="143"/>
      <c r="F166" s="143"/>
      <c r="G166" s="143"/>
    </row>
    <row r="167" spans="1:7" ht="13.2" x14ac:dyDescent="0.25">
      <c r="A167" s="161"/>
      <c r="B167" s="143"/>
      <c r="C167" s="143"/>
      <c r="D167" s="143"/>
      <c r="E167" s="143"/>
      <c r="F167" s="143"/>
      <c r="G167" s="143"/>
    </row>
    <row r="168" spans="1:7" ht="13.2" x14ac:dyDescent="0.25">
      <c r="A168" s="161"/>
      <c r="B168" s="143"/>
      <c r="C168" s="143"/>
      <c r="D168" s="143"/>
      <c r="E168" s="143"/>
      <c r="F168" s="143"/>
      <c r="G168" s="143"/>
    </row>
    <row r="169" spans="1:7" ht="13.2" x14ac:dyDescent="0.25">
      <c r="A169" s="161"/>
      <c r="B169" s="143"/>
      <c r="C169" s="143"/>
      <c r="D169" s="143"/>
      <c r="E169" s="143"/>
      <c r="F169" s="143"/>
      <c r="G169" s="143"/>
    </row>
    <row r="170" spans="1:7" ht="13.2" x14ac:dyDescent="0.25">
      <c r="A170" s="161"/>
      <c r="B170" s="143"/>
      <c r="C170" s="143"/>
      <c r="D170" s="143"/>
      <c r="E170" s="143"/>
      <c r="F170" s="143"/>
      <c r="G170" s="143"/>
    </row>
    <row r="171" spans="1:7" ht="13.2" x14ac:dyDescent="0.25">
      <c r="A171" s="161"/>
      <c r="B171" s="143"/>
      <c r="C171" s="143"/>
      <c r="D171" s="143"/>
      <c r="E171" s="143"/>
      <c r="F171" s="143"/>
      <c r="G171" s="143"/>
    </row>
    <row r="172" spans="1:7" ht="13.2" x14ac:dyDescent="0.25">
      <c r="A172" s="161"/>
      <c r="B172" s="143"/>
      <c r="C172" s="143"/>
      <c r="D172" s="143"/>
      <c r="E172" s="143"/>
      <c r="F172" s="143"/>
      <c r="G172" s="143"/>
    </row>
    <row r="173" spans="1:7" ht="13.2" x14ac:dyDescent="0.25">
      <c r="A173" s="161"/>
      <c r="B173" s="143"/>
      <c r="C173" s="143"/>
      <c r="D173" s="143"/>
      <c r="E173" s="143"/>
      <c r="F173" s="143"/>
      <c r="G173" s="143"/>
    </row>
    <row r="174" spans="1:7" ht="13.2" x14ac:dyDescent="0.25">
      <c r="A174" s="161"/>
      <c r="B174" s="143"/>
      <c r="C174" s="143"/>
      <c r="D174" s="143"/>
      <c r="E174" s="143"/>
      <c r="F174" s="143"/>
      <c r="G174" s="143"/>
    </row>
    <row r="175" spans="1:7" ht="13.2" x14ac:dyDescent="0.25">
      <c r="A175" s="161"/>
      <c r="B175" s="143"/>
      <c r="C175" s="143"/>
      <c r="D175" s="143"/>
      <c r="E175" s="143"/>
      <c r="F175" s="143"/>
      <c r="G175" s="143"/>
    </row>
    <row r="176" spans="1:7" ht="13.2" x14ac:dyDescent="0.25">
      <c r="A176" s="161"/>
      <c r="B176" s="143"/>
      <c r="C176" s="143"/>
      <c r="D176" s="143"/>
      <c r="E176" s="143"/>
      <c r="F176" s="143"/>
      <c r="G176" s="143"/>
    </row>
    <row r="177" spans="1:7" ht="13.2" x14ac:dyDescent="0.25">
      <c r="A177" s="161"/>
      <c r="B177" s="143"/>
      <c r="C177" s="143"/>
      <c r="D177" s="143"/>
      <c r="E177" s="143"/>
      <c r="F177" s="143"/>
      <c r="G177" s="143"/>
    </row>
    <row r="178" spans="1:7" ht="13.2" x14ac:dyDescent="0.25">
      <c r="A178" s="161"/>
      <c r="B178" s="143"/>
      <c r="C178" s="143"/>
      <c r="D178" s="143"/>
      <c r="E178" s="143"/>
      <c r="F178" s="143"/>
      <c r="G178" s="143"/>
    </row>
    <row r="179" spans="1:7" ht="13.2" x14ac:dyDescent="0.25">
      <c r="A179" s="161"/>
      <c r="B179" s="143"/>
      <c r="C179" s="143"/>
      <c r="D179" s="143"/>
      <c r="E179" s="143"/>
      <c r="F179" s="143"/>
      <c r="G179" s="143"/>
    </row>
    <row r="180" spans="1:7" ht="13.2" x14ac:dyDescent="0.25">
      <c r="A180" s="161"/>
      <c r="B180" s="143"/>
      <c r="C180" s="143"/>
      <c r="D180" s="143"/>
      <c r="E180" s="143"/>
      <c r="F180" s="143"/>
      <c r="G180" s="143"/>
    </row>
    <row r="181" spans="1:7" ht="13.2" x14ac:dyDescent="0.25">
      <c r="A181" s="161"/>
      <c r="B181" s="143"/>
      <c r="C181" s="143"/>
      <c r="D181" s="143"/>
      <c r="E181" s="143"/>
      <c r="F181" s="143"/>
      <c r="G181" s="143"/>
    </row>
    <row r="182" spans="1:7" ht="13.2" x14ac:dyDescent="0.25">
      <c r="A182" s="161"/>
      <c r="B182" s="143"/>
      <c r="C182" s="143"/>
      <c r="D182" s="143"/>
      <c r="E182" s="143"/>
      <c r="F182" s="143"/>
      <c r="G182" s="143"/>
    </row>
    <row r="183" spans="1:7" ht="13.2" x14ac:dyDescent="0.25">
      <c r="A183" s="161"/>
      <c r="B183" s="143"/>
      <c r="C183" s="143"/>
      <c r="D183" s="143"/>
      <c r="E183" s="143"/>
      <c r="F183" s="143"/>
      <c r="G183" s="143"/>
    </row>
    <row r="184" spans="1:7" ht="13.2" x14ac:dyDescent="0.25">
      <c r="A184" s="161"/>
      <c r="B184" s="143"/>
      <c r="C184" s="143"/>
      <c r="D184" s="143"/>
      <c r="E184" s="143"/>
      <c r="F184" s="143"/>
      <c r="G184" s="143"/>
    </row>
    <row r="185" spans="1:7" ht="13.2" x14ac:dyDescent="0.25">
      <c r="A185" s="161"/>
      <c r="B185" s="143"/>
      <c r="C185" s="143"/>
      <c r="D185" s="143"/>
      <c r="E185" s="143"/>
      <c r="F185" s="143"/>
      <c r="G185" s="143"/>
    </row>
    <row r="186" spans="1:7" ht="13.2" x14ac:dyDescent="0.25">
      <c r="A186" s="161"/>
      <c r="B186" s="143"/>
      <c r="C186" s="143"/>
      <c r="D186" s="143"/>
      <c r="E186" s="143"/>
      <c r="F186" s="143"/>
      <c r="G186" s="143"/>
    </row>
  </sheetData>
  <mergeCells count="184">
    <mergeCell ref="A88:G88"/>
    <mergeCell ref="A86:G86"/>
    <mergeCell ref="A101:G101"/>
    <mergeCell ref="A100:G100"/>
    <mergeCell ref="A99:G99"/>
    <mergeCell ref="A98:G98"/>
    <mergeCell ref="A97:G97"/>
    <mergeCell ref="A35:G35"/>
    <mergeCell ref="A31:G31"/>
    <mergeCell ref="A36:G36"/>
    <mergeCell ref="A58:G58"/>
    <mergeCell ref="A54:G54"/>
    <mergeCell ref="A57:G57"/>
    <mergeCell ref="A41:G41"/>
    <mergeCell ref="A42:G42"/>
    <mergeCell ref="A40:G40"/>
    <mergeCell ref="A37:G37"/>
    <mergeCell ref="A39:G39"/>
    <mergeCell ref="A38:G38"/>
    <mergeCell ref="A43:G43"/>
    <mergeCell ref="A44:G44"/>
    <mergeCell ref="A45:G45"/>
    <mergeCell ref="A46:G46"/>
    <mergeCell ref="A47:G47"/>
    <mergeCell ref="A107:G107"/>
    <mergeCell ref="A102:G102"/>
    <mergeCell ref="A103:G103"/>
    <mergeCell ref="A104:G104"/>
    <mergeCell ref="A105:G105"/>
    <mergeCell ref="A106:G106"/>
    <mergeCell ref="A108:G108"/>
    <mergeCell ref="A89:G89"/>
    <mergeCell ref="A90:G90"/>
    <mergeCell ref="A96:G96"/>
    <mergeCell ref="A92:G92"/>
    <mergeCell ref="A93:G93"/>
    <mergeCell ref="A95:G95"/>
    <mergeCell ref="A94:G94"/>
    <mergeCell ref="A67:G67"/>
    <mergeCell ref="A55:G55"/>
    <mergeCell ref="A56:G56"/>
    <mergeCell ref="A51:G51"/>
    <mergeCell ref="A53:G53"/>
    <mergeCell ref="A60:G60"/>
    <mergeCell ref="A85:G85"/>
    <mergeCell ref="A87:G87"/>
    <mergeCell ref="A82:G82"/>
    <mergeCell ref="A83:G83"/>
    <mergeCell ref="A84:G84"/>
    <mergeCell ref="A4:G4"/>
    <mergeCell ref="A5:G5"/>
    <mergeCell ref="A6:G6"/>
    <mergeCell ref="A8:G8"/>
    <mergeCell ref="A7:G7"/>
    <mergeCell ref="A9:G9"/>
    <mergeCell ref="A3:G3"/>
    <mergeCell ref="A66:G66"/>
    <mergeCell ref="A62:G62"/>
    <mergeCell ref="A10:G10"/>
    <mergeCell ref="A21:G21"/>
    <mergeCell ref="A20:G20"/>
    <mergeCell ref="A18:G18"/>
    <mergeCell ref="A19:G19"/>
    <mergeCell ref="A24:G24"/>
    <mergeCell ref="A48:G48"/>
    <mergeCell ref="A49:G49"/>
    <mergeCell ref="A50:G50"/>
    <mergeCell ref="A13:G13"/>
    <mergeCell ref="A14:G14"/>
    <mergeCell ref="A26:G26"/>
    <mergeCell ref="A25:G25"/>
    <mergeCell ref="A23:G23"/>
    <mergeCell ref="A22:G22"/>
    <mergeCell ref="A138:G138"/>
    <mergeCell ref="A139:G139"/>
    <mergeCell ref="A134:G134"/>
    <mergeCell ref="A133:G133"/>
    <mergeCell ref="A131:G131"/>
    <mergeCell ref="A132:G132"/>
    <mergeCell ref="A129:G129"/>
    <mergeCell ref="A142:G142"/>
    <mergeCell ref="A143:G143"/>
    <mergeCell ref="A135:G135"/>
    <mergeCell ref="A137:G137"/>
    <mergeCell ref="A141:G141"/>
    <mergeCell ref="A130:G130"/>
    <mergeCell ref="A136:G136"/>
    <mergeCell ref="A176:G176"/>
    <mergeCell ref="A179:G179"/>
    <mergeCell ref="A154:G154"/>
    <mergeCell ref="A162:G162"/>
    <mergeCell ref="A161:G161"/>
    <mergeCell ref="A163:G163"/>
    <mergeCell ref="A164:G164"/>
    <mergeCell ref="A165:G165"/>
    <mergeCell ref="A166:G166"/>
    <mergeCell ref="A167:G167"/>
    <mergeCell ref="A168:G168"/>
    <mergeCell ref="A174:G174"/>
    <mergeCell ref="A175:G175"/>
    <mergeCell ref="A171:G171"/>
    <mergeCell ref="A172:G172"/>
    <mergeCell ref="A173:G173"/>
    <mergeCell ref="A159:G159"/>
    <mergeCell ref="A160:G160"/>
    <mergeCell ref="A156:G156"/>
    <mergeCell ref="A155:G155"/>
    <mergeCell ref="A185:G185"/>
    <mergeCell ref="A186:G186"/>
    <mergeCell ref="A169:G169"/>
    <mergeCell ref="A170:G170"/>
    <mergeCell ref="A152:G152"/>
    <mergeCell ref="A153:G153"/>
    <mergeCell ref="A148:G148"/>
    <mergeCell ref="A147:G147"/>
    <mergeCell ref="A140:G140"/>
    <mergeCell ref="A146:G146"/>
    <mergeCell ref="A145:G145"/>
    <mergeCell ref="A149:G149"/>
    <mergeCell ref="A150:G150"/>
    <mergeCell ref="A151:G151"/>
    <mergeCell ref="A144:G144"/>
    <mergeCell ref="A178:G178"/>
    <mergeCell ref="A177:G177"/>
    <mergeCell ref="A182:G182"/>
    <mergeCell ref="A180:G180"/>
    <mergeCell ref="A181:G181"/>
    <mergeCell ref="A184:G184"/>
    <mergeCell ref="A183:G183"/>
    <mergeCell ref="A157:G157"/>
    <mergeCell ref="A158:G158"/>
    <mergeCell ref="A122:G122"/>
    <mergeCell ref="A126:G126"/>
    <mergeCell ref="A127:G127"/>
    <mergeCell ref="A128:G128"/>
    <mergeCell ref="A125:G125"/>
    <mergeCell ref="A124:G124"/>
    <mergeCell ref="A123:G123"/>
    <mergeCell ref="A80:G80"/>
    <mergeCell ref="A78:G78"/>
    <mergeCell ref="A79:G79"/>
    <mergeCell ref="A117:G117"/>
    <mergeCell ref="A112:G112"/>
    <mergeCell ref="A113:G113"/>
    <mergeCell ref="A114:G114"/>
    <mergeCell ref="A111:G111"/>
    <mergeCell ref="A110:G110"/>
    <mergeCell ref="A109:G109"/>
    <mergeCell ref="A121:G121"/>
    <mergeCell ref="A120:G120"/>
    <mergeCell ref="A115:G115"/>
    <mergeCell ref="A118:G118"/>
    <mergeCell ref="A119:G119"/>
    <mergeCell ref="A116:G116"/>
    <mergeCell ref="A91:G91"/>
    <mergeCell ref="A77:G77"/>
    <mergeCell ref="A76:G76"/>
    <mergeCell ref="A81:G81"/>
    <mergeCell ref="A68:G68"/>
    <mergeCell ref="A69:G69"/>
    <mergeCell ref="A75:G75"/>
    <mergeCell ref="A74:G74"/>
    <mergeCell ref="A73:G73"/>
    <mergeCell ref="A72:G72"/>
    <mergeCell ref="A70:G70"/>
    <mergeCell ref="A71:G71"/>
    <mergeCell ref="A64:G64"/>
    <mergeCell ref="A59:G59"/>
    <mergeCell ref="A63:G63"/>
    <mergeCell ref="A61:G61"/>
    <mergeCell ref="A65:G65"/>
    <mergeCell ref="A17:G17"/>
    <mergeCell ref="A15:G15"/>
    <mergeCell ref="A16:G16"/>
    <mergeCell ref="A11:G11"/>
    <mergeCell ref="A12:G12"/>
    <mergeCell ref="A52:G52"/>
    <mergeCell ref="A27:G27"/>
    <mergeCell ref="A28:G28"/>
    <mergeCell ref="A34:G34"/>
    <mergeCell ref="A33:G33"/>
    <mergeCell ref="A32:G32"/>
    <mergeCell ref="A30:G30"/>
    <mergeCell ref="A29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45"/>
  <sheetViews>
    <sheetView workbookViewId="0"/>
  </sheetViews>
  <sheetFormatPr defaultColWidth="14.44140625" defaultRowHeight="15.75" customHeight="1" x14ac:dyDescent="0.25"/>
  <cols>
    <col min="1" max="1" width="23.44140625" customWidth="1"/>
    <col min="3" max="3" width="13.44140625" customWidth="1"/>
    <col min="4" max="4" width="7.33203125" customWidth="1"/>
    <col min="5" max="5" width="25.5546875" customWidth="1"/>
  </cols>
  <sheetData>
    <row r="1" spans="1:26" ht="6.75" customHeight="1" x14ac:dyDescent="0.25">
      <c r="A1" s="1"/>
      <c r="B1" s="1"/>
      <c r="C1" s="1"/>
      <c r="D1" s="1"/>
      <c r="E1" s="1"/>
      <c r="F1" s="1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.75" customHeight="1" x14ac:dyDescent="0.3">
      <c r="A2" s="5"/>
      <c r="B2" s="5"/>
      <c r="C2" s="5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4.4" x14ac:dyDescent="0.3">
      <c r="A3" s="175" t="s">
        <v>2</v>
      </c>
      <c r="B3" s="143"/>
      <c r="C3" s="143"/>
      <c r="D3" s="143"/>
      <c r="E3" s="143"/>
      <c r="F3" s="143"/>
      <c r="G3" s="143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8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8" x14ac:dyDescent="0.25">
      <c r="A5" s="12" t="s">
        <v>3</v>
      </c>
      <c r="B5" s="13" t="s">
        <v>4</v>
      </c>
      <c r="C5" s="15" t="s">
        <v>5</v>
      </c>
      <c r="D5" s="2"/>
      <c r="E5" s="12" t="s">
        <v>6</v>
      </c>
      <c r="F5" s="13" t="s">
        <v>4</v>
      </c>
      <c r="G5" s="15" t="s">
        <v>5</v>
      </c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8" x14ac:dyDescent="0.25">
      <c r="A6" s="16" t="s">
        <v>7</v>
      </c>
      <c r="B6" s="18">
        <f>COUNTIF(Data!B$2:B$300,"18–25 років")</f>
        <v>2</v>
      </c>
      <c r="C6" s="20">
        <f>B6/COUNT(Data!$A$2:$A$500)</f>
        <v>6.6666666666666666E-2</v>
      </c>
      <c r="D6" s="2"/>
      <c r="E6" s="16" t="s">
        <v>9</v>
      </c>
      <c r="F6" s="18">
        <f>COUNTIF(Data!C$2:C$500,"Чоловіча")</f>
        <v>21</v>
      </c>
      <c r="G6" s="20">
        <f>F6/COUNT(Data!$A$2:$A$500)</f>
        <v>0.7</v>
      </c>
      <c r="H6" s="2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8" x14ac:dyDescent="0.25">
      <c r="A7" s="16" t="s">
        <v>10</v>
      </c>
      <c r="B7" s="18">
        <f>COUNTIF(Data!B$2:B$300,"26–39 років")</f>
        <v>12</v>
      </c>
      <c r="C7" s="20">
        <f>B7/COUNT(Data!$A$2:$A$500)</f>
        <v>0.4</v>
      </c>
      <c r="D7" s="2"/>
      <c r="E7" s="16" t="s">
        <v>11</v>
      </c>
      <c r="F7" s="18">
        <f>COUNTIF(Data!C$2:C$500,"Жіноча")</f>
        <v>9</v>
      </c>
      <c r="G7" s="20">
        <f>F7/COUNT(Data!$A$2:$A$500)</f>
        <v>0.3</v>
      </c>
      <c r="H7" s="2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8" x14ac:dyDescent="0.25">
      <c r="A8" s="16" t="s">
        <v>12</v>
      </c>
      <c r="B8" s="18">
        <f>COUNTIF(Data!B$2:B$300,"40–59 років")</f>
        <v>14</v>
      </c>
      <c r="C8" s="20">
        <f>B8/COUNT(Data!$A$2:$A$500)</f>
        <v>0.46666666666666667</v>
      </c>
      <c r="D8" s="2"/>
      <c r="E8" s="1"/>
      <c r="F8" s="1"/>
      <c r="G8" s="25"/>
      <c r="H8" s="2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8" x14ac:dyDescent="0.25">
      <c r="A9" s="16" t="s">
        <v>13</v>
      </c>
      <c r="B9" s="18">
        <f>COUNTIF(Data!B$2:B$300,"60 років і старше")</f>
        <v>2</v>
      </c>
      <c r="C9" s="20">
        <f>B9/COUNT(Data!$A$2:$A$500)</f>
        <v>6.6666666666666666E-2</v>
      </c>
      <c r="D9" s="2"/>
      <c r="E9" s="1"/>
      <c r="F9" s="1"/>
      <c r="G9" s="25"/>
      <c r="H9" s="2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8" x14ac:dyDescent="0.25">
      <c r="A11" s="12" t="s">
        <v>14</v>
      </c>
      <c r="B11" s="13" t="s">
        <v>4</v>
      </c>
      <c r="C11" s="15" t="s">
        <v>5</v>
      </c>
      <c r="D11" s="2"/>
      <c r="E11" s="26" t="s">
        <v>15</v>
      </c>
      <c r="F11" s="13" t="s">
        <v>4</v>
      </c>
      <c r="G11" s="15" t="s">
        <v>5</v>
      </c>
      <c r="H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8" x14ac:dyDescent="0.25">
      <c r="A12" s="27" t="s">
        <v>16</v>
      </c>
      <c r="B12" s="18">
        <f>COUNTIF(Data!D$2:D$300,"Середня та неповна середня")</f>
        <v>9</v>
      </c>
      <c r="C12" s="20">
        <f>B12/COUNT(Data!$A$2:$A$500)</f>
        <v>0.3</v>
      </c>
      <c r="D12" s="2"/>
      <c r="E12" s="16" t="s">
        <v>18</v>
      </c>
      <c r="F12" s="18">
        <f>COUNTIF(Data!E$2:E$500,"Так")</f>
        <v>13</v>
      </c>
      <c r="G12" s="20">
        <f>F12/COUNT(Data!$A$2:$A$500)</f>
        <v>0.43333333333333335</v>
      </c>
      <c r="H12" s="2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8" x14ac:dyDescent="0.25">
      <c r="A13" s="27" t="s">
        <v>19</v>
      </c>
      <c r="B13" s="18">
        <f>COUNTIF(Data!D$2:D$300,"Вища та неповна вища")</f>
        <v>20</v>
      </c>
      <c r="C13" s="20">
        <f>B13/COUNT(Data!$A$2:$A$500)</f>
        <v>0.66666666666666663</v>
      </c>
      <c r="D13" s="2"/>
      <c r="E13" s="16" t="s">
        <v>20</v>
      </c>
      <c r="F13" s="18">
        <f>COUNTIF(Data!E$2:E$500,"Ні")</f>
        <v>17</v>
      </c>
      <c r="G13" s="20">
        <f>F13/COUNT(Data!$A$2:$A$500)</f>
        <v>0.56666666666666665</v>
      </c>
      <c r="H13" s="2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8" x14ac:dyDescent="0.25">
      <c r="A14" s="27" t="s">
        <v>21</v>
      </c>
      <c r="B14" s="18">
        <f>COUNTIF(Data!D$2:D$300,"Інше (вкажіть)")</f>
        <v>1</v>
      </c>
      <c r="C14" s="20">
        <f>B14/COUNT(Data!$A$2:$A$500)</f>
        <v>3.3333333333333333E-2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8" x14ac:dyDescent="0.2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8" x14ac:dyDescent="0.25">
      <c r="A16" s="12" t="s">
        <v>22</v>
      </c>
      <c r="B16" s="13" t="s">
        <v>4</v>
      </c>
      <c r="C16" s="15" t="s">
        <v>5</v>
      </c>
      <c r="D16" s="2"/>
      <c r="E16" s="1"/>
      <c r="F16" s="1"/>
      <c r="G16" s="1"/>
      <c r="H16" s="2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7.6" x14ac:dyDescent="0.25">
      <c r="A17" s="29" t="s">
        <v>24</v>
      </c>
      <c r="B17" s="18">
        <f>COUNTIF(Data!F$2:F$300,"В населеному пункті, де розташований цей суд")</f>
        <v>11</v>
      </c>
      <c r="C17" s="20">
        <f>B17/COUNT(Data!$A$2:$A$500)</f>
        <v>0.36666666666666664</v>
      </c>
      <c r="D17" s="2"/>
      <c r="E17" s="1"/>
      <c r="F17" s="1"/>
      <c r="G17" s="25"/>
      <c r="H17" s="2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7.6" x14ac:dyDescent="0.25">
      <c r="A18" s="29" t="s">
        <v>26</v>
      </c>
      <c r="B18" s="18">
        <f>COUNTIF(Data!F$2:F$300,"В іншому населеному пункті")</f>
        <v>19</v>
      </c>
      <c r="C18" s="20">
        <f>B18/COUNT(Data!$A$2:$A$500)</f>
        <v>0.6333333333333333</v>
      </c>
      <c r="D18" s="2"/>
      <c r="E18" s="1"/>
      <c r="F18" s="1"/>
      <c r="G18" s="25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8" x14ac:dyDescent="0.25">
      <c r="A19" s="2"/>
      <c r="B19" s="2"/>
      <c r="C19" s="2"/>
      <c r="D19" s="2"/>
      <c r="E19" s="1"/>
      <c r="F19" s="1"/>
      <c r="G19" s="25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8" x14ac:dyDescent="0.25">
      <c r="A20" s="176" t="s">
        <v>27</v>
      </c>
      <c r="B20" s="135"/>
      <c r="C20" s="135"/>
      <c r="D20" s="135"/>
      <c r="E20" s="136"/>
      <c r="F20" s="13" t="s">
        <v>4</v>
      </c>
      <c r="G20" s="15" t="s">
        <v>5</v>
      </c>
      <c r="H20" s="2"/>
      <c r="I20" s="2"/>
      <c r="J20" s="2"/>
      <c r="K20" s="2"/>
      <c r="L20" s="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6" ht="13.8" x14ac:dyDescent="0.25">
      <c r="A21" s="172" t="s">
        <v>28</v>
      </c>
      <c r="B21" s="173"/>
      <c r="C21" s="173"/>
      <c r="D21" s="173"/>
      <c r="E21" s="174"/>
      <c r="F21" s="32">
        <f>COUNTIF(Data!G$2:G$300,"Змушені економити на харчуванні")</f>
        <v>5</v>
      </c>
      <c r="G21" s="20">
        <f>F21/COUNT(Data!$A$2:$A$500)</f>
        <v>0.16666666666666666</v>
      </c>
      <c r="H21" s="2"/>
      <c r="I21" s="2"/>
      <c r="J21" s="2"/>
      <c r="K21" s="2"/>
      <c r="L21" s="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6" ht="13.8" x14ac:dyDescent="0.25">
      <c r="A22" s="172" t="s">
        <v>30</v>
      </c>
      <c r="B22" s="173"/>
      <c r="C22" s="173"/>
      <c r="D22" s="173"/>
      <c r="E22" s="174"/>
      <c r="F22" s="32">
        <f>COUNTIF(Data!G$2:G$300,"Вистачає на харчування та необхідний одяг, взуття. Для таких покупок як гарний  костюм, мобільний телефон, пилосос необхідно заощадити або позичити")</f>
        <v>3</v>
      </c>
      <c r="G22" s="20">
        <f>F22/COUNT(Data!$A$2:$A$500)</f>
        <v>0.1</v>
      </c>
      <c r="H22" s="2"/>
      <c r="I22" s="2"/>
      <c r="J22" s="2"/>
      <c r="K22" s="2"/>
      <c r="L22" s="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6" ht="13.8" x14ac:dyDescent="0.25">
      <c r="A23" s="172" t="s">
        <v>31</v>
      </c>
      <c r="B23" s="173"/>
      <c r="C23" s="173"/>
      <c r="D23" s="173"/>
      <c r="E23" s="174"/>
      <c r="F23" s="32">
        <f>COUNTIF(Data!G$2:G$300,"Вистачає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позичити")</f>
        <v>7</v>
      </c>
      <c r="G23" s="20">
        <f>F23/COUNT(Data!$A$2:$A$500)</f>
        <v>0.23333333333333334</v>
      </c>
      <c r="H23" s="2"/>
      <c r="I23" s="2"/>
      <c r="J23" s="2"/>
      <c r="K23" s="2"/>
      <c r="L23" s="2"/>
      <c r="M23" s="2"/>
      <c r="N23" s="2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8" x14ac:dyDescent="0.25">
      <c r="A24" s="172" t="s">
        <v>32</v>
      </c>
      <c r="B24" s="173"/>
      <c r="C24" s="173"/>
      <c r="D24" s="173"/>
      <c r="E24" s="174"/>
      <c r="F24" s="32">
        <f>COUNTIF(Data!G$2:G$300,"Вистачає на харчування, одяг, взуття, дорогі покупки. Для таких покупок як машина, квартира необхідно заощадити або позичити")</f>
        <v>12</v>
      </c>
      <c r="G24" s="20">
        <f>F24/COUNT(Data!$A$2:$A$500)</f>
        <v>0.4</v>
      </c>
      <c r="H24" s="2"/>
      <c r="I24" s="2"/>
      <c r="J24" s="2"/>
      <c r="K24" s="2"/>
      <c r="L24" s="2"/>
      <c r="M24" s="2"/>
      <c r="N24" s="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8" x14ac:dyDescent="0.25">
      <c r="A25" s="172" t="s">
        <v>34</v>
      </c>
      <c r="B25" s="173"/>
      <c r="C25" s="173"/>
      <c r="D25" s="173"/>
      <c r="E25" s="174"/>
      <c r="F25" s="32">
        <f>COUNTIF(Data!G$2:G$300,"Будь-які необхідні покупки можу зробити в будь-який час")</f>
        <v>0</v>
      </c>
      <c r="G25" s="20">
        <f>F25/COUNT(Data!$A$2:$A$500)</f>
        <v>0</v>
      </c>
      <c r="H25" s="2"/>
      <c r="I25" s="2"/>
      <c r="J25" s="2"/>
      <c r="K25" s="2"/>
      <c r="L25" s="2"/>
      <c r="M25" s="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8" x14ac:dyDescent="0.25">
      <c r="A26" s="172" t="s">
        <v>35</v>
      </c>
      <c r="B26" s="173"/>
      <c r="C26" s="173"/>
      <c r="D26" s="173"/>
      <c r="E26" s="174"/>
      <c r="F26" s="32">
        <f>COUNTIF(Data!G$2:G$300,"КН (код невідповіді)")</f>
        <v>3</v>
      </c>
      <c r="G26" s="20">
        <f>F26/COUNT(Data!$A$2:$A$500)</f>
        <v>0.1</v>
      </c>
      <c r="H26" s="2"/>
      <c r="I26" s="2"/>
      <c r="J26" s="2"/>
      <c r="K26" s="2"/>
      <c r="L26" s="2"/>
      <c r="M26" s="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8" x14ac:dyDescent="0.25">
      <c r="A27" s="2"/>
      <c r="B27" s="2"/>
      <c r="C27" s="2"/>
      <c r="D27" s="2"/>
      <c r="E27" s="1"/>
      <c r="F27" s="1"/>
      <c r="G27" s="25"/>
      <c r="H27" s="2"/>
      <c r="I27" s="2"/>
      <c r="J27" s="2"/>
      <c r="K27" s="2"/>
      <c r="L27" s="2"/>
      <c r="M27" s="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8" x14ac:dyDescent="0.25">
      <c r="A28" s="176" t="s">
        <v>37</v>
      </c>
      <c r="B28" s="135"/>
      <c r="C28" s="135"/>
      <c r="D28" s="135"/>
      <c r="E28" s="136"/>
      <c r="F28" s="13" t="s">
        <v>4</v>
      </c>
      <c r="G28" s="15" t="s">
        <v>5</v>
      </c>
      <c r="H28" s="2"/>
      <c r="I28" s="2"/>
      <c r="J28" s="2"/>
      <c r="K28" s="2"/>
      <c r="L28" s="2"/>
      <c r="M28" s="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8" x14ac:dyDescent="0.25">
      <c r="A29" s="172" t="s">
        <v>38</v>
      </c>
      <c r="B29" s="173"/>
      <c r="C29" s="173"/>
      <c r="D29" s="173"/>
      <c r="E29" s="174"/>
      <c r="F29" s="32">
        <f>COUNTIF(Data!H$2:H$500,"Є учасником судових проваджень і представляєте особисто себе")</f>
        <v>16</v>
      </c>
      <c r="G29" s="20">
        <f>F29/COUNT(Data!$A$2:$A$500)</f>
        <v>0.53333333333333333</v>
      </c>
      <c r="H29" s="2"/>
      <c r="I29" s="2"/>
      <c r="J29" s="2"/>
      <c r="K29" s="2"/>
      <c r="L29" s="2"/>
      <c r="M29" s="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8" x14ac:dyDescent="0.25">
      <c r="A30" s="172" t="s">
        <v>39</v>
      </c>
      <c r="B30" s="173"/>
      <c r="C30" s="173"/>
      <c r="D30" s="173"/>
      <c r="E30" s="174"/>
      <c r="F30" s="32">
        <f>COUNTIF(Data!H$2:H$500,"Є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юрист-консультантом)")</f>
        <v>9</v>
      </c>
      <c r="G30" s="20">
        <f>F30/COUNT(Data!$A$2:$A$500)</f>
        <v>0.3</v>
      </c>
      <c r="H30" s="2"/>
      <c r="I30" s="2"/>
      <c r="J30" s="2"/>
      <c r="K30" s="2"/>
      <c r="L30" s="2"/>
      <c r="M30" s="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8" x14ac:dyDescent="0.25">
      <c r="A31" s="172" t="s">
        <v>40</v>
      </c>
      <c r="B31" s="173"/>
      <c r="C31" s="173"/>
      <c r="D31" s="173"/>
      <c r="E31" s="174"/>
      <c r="F31" s="32">
        <f>COUNTIF(Data!H$2:H$500,"Не є учасником судових проваджень")</f>
        <v>3</v>
      </c>
      <c r="G31" s="20">
        <f>F31/COUNT(Data!$A$2:$A$500)</f>
        <v>0.1</v>
      </c>
      <c r="H31" s="2"/>
      <c r="I31" s="2"/>
      <c r="J31" s="2"/>
      <c r="K31" s="2"/>
      <c r="L31" s="2"/>
      <c r="M31" s="2"/>
      <c r="N31" s="2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8" x14ac:dyDescent="0.25">
      <c r="A32" s="172" t="s">
        <v>21</v>
      </c>
      <c r="B32" s="173"/>
      <c r="C32" s="173"/>
      <c r="D32" s="173"/>
      <c r="E32" s="174"/>
      <c r="F32" s="32">
        <f>COUNTIF(Data!H$2:H$500,"Інше")</f>
        <v>2</v>
      </c>
      <c r="G32" s="20">
        <f>F32/COUNT(Data!$A$2:$A$500)</f>
        <v>6.6666666666666666E-2</v>
      </c>
      <c r="H32" s="2"/>
      <c r="I32" s="2"/>
      <c r="J32" s="2"/>
      <c r="K32" s="2"/>
      <c r="L32" s="2"/>
      <c r="M32" s="2"/>
      <c r="N32" s="2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8" x14ac:dyDescent="0.25">
      <c r="A33" s="2"/>
      <c r="B33" s="2"/>
      <c r="C33" s="2"/>
      <c r="D33" s="2"/>
      <c r="E33" s="1"/>
      <c r="F33" s="1"/>
      <c r="G33" s="25"/>
      <c r="H33" s="2"/>
      <c r="I33" s="2"/>
      <c r="J33" s="2"/>
      <c r="K33" s="2"/>
      <c r="L33" s="2"/>
      <c r="M33" s="2"/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62.4" x14ac:dyDescent="0.3">
      <c r="A34" s="35" t="s">
        <v>42</v>
      </c>
      <c r="B34" s="36" t="s">
        <v>4</v>
      </c>
      <c r="C34" s="37" t="s">
        <v>5</v>
      </c>
      <c r="D34" s="2"/>
      <c r="E34" s="35" t="s">
        <v>44</v>
      </c>
      <c r="F34" s="36" t="s">
        <v>4</v>
      </c>
      <c r="G34" s="37" t="s">
        <v>5</v>
      </c>
      <c r="H34" s="2"/>
      <c r="I34" s="2"/>
      <c r="J34" s="2"/>
      <c r="K34" s="2"/>
      <c r="L34" s="2"/>
      <c r="M34" s="2"/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8" x14ac:dyDescent="0.25">
      <c r="A35" s="38" t="s">
        <v>45</v>
      </c>
      <c r="B35" s="18">
        <f>COUNTIF(Data!I$2:I$500,"Цивільний процес")</f>
        <v>18</v>
      </c>
      <c r="C35" s="20">
        <f>B35/COUNT(Data!$A$2:$A$500)</f>
        <v>0.6</v>
      </c>
      <c r="D35" s="2"/>
      <c r="E35" s="39" t="s">
        <v>47</v>
      </c>
      <c r="F35" s="18">
        <f>COUNTIF(Data!J$2:J$500,"Розгляд справи ще не розпочато")</f>
        <v>6</v>
      </c>
      <c r="G35" s="20">
        <f>F35/COUNT(Data!$A$2:$A$500)</f>
        <v>0.2</v>
      </c>
      <c r="H35" s="2"/>
      <c r="I35" s="2"/>
      <c r="J35" s="2"/>
      <c r="K35" s="2"/>
      <c r="L35" s="2"/>
      <c r="M35" s="2"/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8" x14ac:dyDescent="0.25">
      <c r="A36" s="38" t="s">
        <v>46</v>
      </c>
      <c r="B36" s="18">
        <f>COUNTIF(Data!I$2:I$500,"Кримінальний процес")</f>
        <v>4</v>
      </c>
      <c r="C36" s="20">
        <f>B36/COUNT(Data!$A$2:$A$500)</f>
        <v>0.13333333333333333</v>
      </c>
      <c r="D36" s="2"/>
      <c r="E36" s="39" t="s">
        <v>49</v>
      </c>
      <c r="F36" s="18">
        <f>COUNTIF(Data!J$2:J$500,"Справа перебуває в процесі розгляду")</f>
        <v>16</v>
      </c>
      <c r="G36" s="20">
        <f>F36/COUNT(Data!$A$2:$A$500)</f>
        <v>0.53333333333333333</v>
      </c>
      <c r="H36" s="2"/>
      <c r="I36" s="2"/>
      <c r="J36" s="2"/>
      <c r="K36" s="2"/>
      <c r="L36" s="2"/>
      <c r="M36" s="2"/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8" x14ac:dyDescent="0.25">
      <c r="A37" s="42" t="s">
        <v>48</v>
      </c>
      <c r="B37" s="18">
        <f>COUNTIF(Data!I$2:I$500,"Адміністративний процес")</f>
        <v>2</v>
      </c>
      <c r="C37" s="20">
        <f>B37/COUNT(Data!$A$2:$A$500)</f>
        <v>6.6666666666666666E-2</v>
      </c>
      <c r="D37" s="2"/>
      <c r="E37" s="39" t="s">
        <v>53</v>
      </c>
      <c r="F37" s="18">
        <f>COUNTIF(Data!J$2:J$500,"Розгляд справи завершено (винесено рішення)")</f>
        <v>4</v>
      </c>
      <c r="G37" s="20">
        <f>F37/COUNT(Data!$A$2:$A$500)</f>
        <v>0.13333333333333333</v>
      </c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8" x14ac:dyDescent="0.25">
      <c r="A38" s="42" t="s">
        <v>50</v>
      </c>
      <c r="B38" s="18">
        <f>COUNTIF(Data!I$2:I$500,"Господарський процес")</f>
        <v>0</v>
      </c>
      <c r="C38" s="20">
        <f>B38/COUNT(Data!$A$2:$A$500)</f>
        <v>0</v>
      </c>
      <c r="D38" s="2"/>
      <c r="E38" s="39" t="s">
        <v>21</v>
      </c>
      <c r="F38" s="18">
        <f>COUNTIF(Data!J$2:J$500,"Інше")</f>
        <v>4</v>
      </c>
      <c r="G38" s="20">
        <f>F38/COUNT(Data!$A$2:$A$500)</f>
        <v>0.13333333333333333</v>
      </c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1.4" x14ac:dyDescent="0.25">
      <c r="A39" s="42" t="s">
        <v>51</v>
      </c>
      <c r="B39" s="18">
        <f>COUNTIF(Data!I$2:I$500,"Справа про адміністративні  правопорушення")</f>
        <v>2</v>
      </c>
      <c r="C39" s="20">
        <f>B39/COUNT(Data!$A$2:$A$500)</f>
        <v>6.6666666666666666E-2</v>
      </c>
      <c r="D39" s="2"/>
      <c r="F39" s="1"/>
      <c r="G39" s="25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8" x14ac:dyDescent="0.25">
      <c r="A40" s="2"/>
      <c r="B40" s="2"/>
      <c r="C40" s="2"/>
      <c r="D40" s="2"/>
      <c r="E40" s="1"/>
      <c r="F40" s="1"/>
      <c r="G40" s="25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4" x14ac:dyDescent="0.3">
      <c r="A41" s="160" t="s">
        <v>54</v>
      </c>
      <c r="B41" s="135"/>
      <c r="C41" s="135"/>
      <c r="D41" s="135"/>
      <c r="E41" s="136"/>
      <c r="F41" s="36" t="s">
        <v>4</v>
      </c>
      <c r="G41" s="37" t="s">
        <v>5</v>
      </c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8" x14ac:dyDescent="0.25">
      <c r="A42" s="45" t="s">
        <v>55</v>
      </c>
      <c r="B42" s="47"/>
      <c r="C42" s="47"/>
      <c r="D42" s="47"/>
      <c r="E42" s="49"/>
      <c r="F42" s="18">
        <f>COUNTIF(Data!K$2:K$500,"Не був ніколи учасником процесу в цьому суді")</f>
        <v>1</v>
      </c>
      <c r="G42" s="20">
        <f>F42/COUNT(Data!$A$2:$A$500)</f>
        <v>3.3333333333333333E-2</v>
      </c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8" x14ac:dyDescent="0.25">
      <c r="A43" s="45" t="s">
        <v>61</v>
      </c>
      <c r="B43" s="47"/>
      <c r="C43" s="47"/>
      <c r="D43" s="47"/>
      <c r="E43" s="49"/>
      <c r="F43" s="18">
        <f>COUNTIF(Data!K$2:K$500,"Це мій перший судовий процес")</f>
        <v>7</v>
      </c>
      <c r="G43" s="20">
        <f>F43/COUNT(Data!$A$2:$A$500)</f>
        <v>0.23333333333333334</v>
      </c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8" x14ac:dyDescent="0.25">
      <c r="A44" s="45" t="s">
        <v>63</v>
      </c>
      <c r="B44" s="47"/>
      <c r="C44" s="47"/>
      <c r="D44" s="47"/>
      <c r="E44" s="49"/>
      <c r="F44" s="18">
        <f>COUNTIF(Data!K$2:K$500,"2–5 разів")</f>
        <v>12</v>
      </c>
      <c r="G44" s="20">
        <f>F44/COUNT(Data!$A$2:$A$500)</f>
        <v>0.4</v>
      </c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8" x14ac:dyDescent="0.25">
      <c r="A45" s="45" t="s">
        <v>64</v>
      </c>
      <c r="B45" s="47"/>
      <c r="C45" s="47"/>
      <c r="D45" s="47"/>
      <c r="E45" s="49"/>
      <c r="F45" s="18">
        <f>COUNTIF(Data!K$2:K$500,"6 разів і більше")</f>
        <v>10</v>
      </c>
      <c r="G45" s="20">
        <f>F45/COUNT(Data!$A$2:$A$500)</f>
        <v>0.33333333333333331</v>
      </c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8" x14ac:dyDescent="0.25">
      <c r="A46" s="2"/>
      <c r="B46" s="2"/>
      <c r="C46" s="2"/>
      <c r="D46" s="2"/>
      <c r="E46" s="1"/>
      <c r="F46" s="1"/>
      <c r="G46" s="25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6" x14ac:dyDescent="0.3">
      <c r="A47" s="54" t="s">
        <v>65</v>
      </c>
      <c r="B47" s="12"/>
      <c r="C47" s="12"/>
      <c r="D47" s="12"/>
      <c r="E47" s="12"/>
      <c r="F47" s="36" t="s">
        <v>4</v>
      </c>
      <c r="G47" s="37" t="s">
        <v>5</v>
      </c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8" x14ac:dyDescent="0.25">
      <c r="A48" s="164" t="s">
        <v>55</v>
      </c>
      <c r="B48" s="135"/>
      <c r="C48" s="135"/>
      <c r="D48" s="135"/>
      <c r="E48" s="136"/>
      <c r="F48" s="18">
        <f>COUNTIF(Data!L$2:L$500,"Жодного разу")</f>
        <v>6</v>
      </c>
      <c r="G48" s="20">
        <f>F48/COUNT(Data!$A$2:$A$500)</f>
        <v>0.2</v>
      </c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8" x14ac:dyDescent="0.25">
      <c r="A49" s="164" t="s">
        <v>61</v>
      </c>
      <c r="B49" s="135"/>
      <c r="C49" s="135"/>
      <c r="D49" s="135"/>
      <c r="E49" s="136"/>
      <c r="F49" s="18">
        <f>COUNTIF(Data!L$2:L$500,"Один раз")</f>
        <v>5</v>
      </c>
      <c r="G49" s="20">
        <f>F49/COUNT(Data!$A$2:$A$500)</f>
        <v>0.16666666666666666</v>
      </c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8" x14ac:dyDescent="0.25">
      <c r="A50" s="164" t="s">
        <v>63</v>
      </c>
      <c r="B50" s="135"/>
      <c r="C50" s="135"/>
      <c r="D50" s="135"/>
      <c r="E50" s="136"/>
      <c r="F50" s="18">
        <f>COUNTIF(Data!L$2:L$500,"2–5 разів")</f>
        <v>12</v>
      </c>
      <c r="G50" s="20">
        <f>F50/COUNT(Data!$A$2:$A$500)</f>
        <v>0.4</v>
      </c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8" x14ac:dyDescent="0.25">
      <c r="A51" s="164" t="s">
        <v>64</v>
      </c>
      <c r="B51" s="135"/>
      <c r="C51" s="135"/>
      <c r="D51" s="135"/>
      <c r="E51" s="136"/>
      <c r="F51" s="18">
        <f>COUNTIF(Data!L$2:L$500,"6 разів і більше")</f>
        <v>7</v>
      </c>
      <c r="G51" s="20">
        <f>F51/COUNT(Data!$A$2:$A$500)</f>
        <v>0.23333333333333334</v>
      </c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8" x14ac:dyDescent="0.25">
      <c r="A52" s="2"/>
      <c r="B52" s="2"/>
      <c r="C52" s="2"/>
      <c r="D52" s="2"/>
      <c r="E52" s="1"/>
      <c r="F52" s="1"/>
      <c r="G52" s="25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4" x14ac:dyDescent="0.3">
      <c r="A53" s="160" t="s">
        <v>67</v>
      </c>
      <c r="B53" s="135"/>
      <c r="C53" s="135"/>
      <c r="D53" s="135"/>
      <c r="E53" s="136"/>
      <c r="F53" s="36" t="s">
        <v>4</v>
      </c>
      <c r="G53" s="37" t="s">
        <v>5</v>
      </c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8" x14ac:dyDescent="0.25">
      <c r="A54" s="163">
        <v>5</v>
      </c>
      <c r="B54" s="135"/>
      <c r="C54" s="135"/>
      <c r="D54" s="135"/>
      <c r="E54" s="136"/>
      <c r="F54" s="18">
        <f>COUNTIF(Data!M$2:M$500,5)</f>
        <v>20</v>
      </c>
      <c r="G54" s="20">
        <f>F54/COUNT(Data!$A$2:$A$500)</f>
        <v>0.66666666666666663</v>
      </c>
      <c r="H54" s="1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8" x14ac:dyDescent="0.25">
      <c r="A55" s="163">
        <v>4</v>
      </c>
      <c r="B55" s="135"/>
      <c r="C55" s="135"/>
      <c r="D55" s="135"/>
      <c r="E55" s="136"/>
      <c r="F55" s="18">
        <f>COUNTIF(Data!M$2:M$500,4)</f>
        <v>4</v>
      </c>
      <c r="G55" s="20">
        <f>F55/COUNT(Data!$A$2:$A$500)</f>
        <v>0.13333333333333333</v>
      </c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8" x14ac:dyDescent="0.25">
      <c r="A56" s="163">
        <v>3</v>
      </c>
      <c r="B56" s="135"/>
      <c r="C56" s="135"/>
      <c r="D56" s="135"/>
      <c r="E56" s="136"/>
      <c r="F56" s="18">
        <f>COUNTIF(Data!M$2:M$500,3)</f>
        <v>2</v>
      </c>
      <c r="G56" s="20">
        <f>F56/COUNT(Data!$A$2:$A$500)</f>
        <v>6.6666666666666666E-2</v>
      </c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8" x14ac:dyDescent="0.25">
      <c r="A57" s="163">
        <v>2</v>
      </c>
      <c r="B57" s="135"/>
      <c r="C57" s="135"/>
      <c r="D57" s="135"/>
      <c r="E57" s="136"/>
      <c r="F57" s="18">
        <f>COUNTIF(Data!M$2:M$500,2)</f>
        <v>0</v>
      </c>
      <c r="G57" s="20">
        <f>F57/COUNT(Data!$A$2:$A$500)</f>
        <v>0</v>
      </c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8" x14ac:dyDescent="0.25">
      <c r="A58" s="163">
        <v>1</v>
      </c>
      <c r="B58" s="135"/>
      <c r="C58" s="135"/>
      <c r="D58" s="135"/>
      <c r="E58" s="136"/>
      <c r="F58" s="18">
        <f>COUNTIF(Data!M$2:M$500,1)</f>
        <v>0</v>
      </c>
      <c r="G58" s="20">
        <f>F58/COUNT(Data!$A$2:$A$500)</f>
        <v>0</v>
      </c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8" x14ac:dyDescent="0.25">
      <c r="A59" s="163">
        <v>9</v>
      </c>
      <c r="B59" s="135"/>
      <c r="C59" s="135"/>
      <c r="D59" s="135"/>
      <c r="E59" s="136"/>
      <c r="F59" s="18">
        <f>COUNTIF(Data!M$2:M$500,9)</f>
        <v>4</v>
      </c>
      <c r="G59" s="20">
        <f>F59/COUNT(Data!$A$2:$A$500)</f>
        <v>0.13333333333333333</v>
      </c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7.399999999999999" x14ac:dyDescent="0.3">
      <c r="A60" s="166" t="s">
        <v>71</v>
      </c>
      <c r="B60" s="135"/>
      <c r="C60" s="135"/>
      <c r="D60" s="135"/>
      <c r="E60" s="136"/>
      <c r="F60" s="57">
        <f>((F54*5)+(F55*4)+(F56*3)+(F57*2)+(F58*1))/SUM(F54:F58)</f>
        <v>4.6923076923076925</v>
      </c>
      <c r="G60" s="37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4" x14ac:dyDescent="0.3">
      <c r="A61" s="167" t="s">
        <v>73</v>
      </c>
      <c r="B61" s="135"/>
      <c r="C61" s="135"/>
      <c r="D61" s="135"/>
      <c r="E61" s="136"/>
      <c r="F61" s="58">
        <f>((COUNTIFS(Data!B$2:B$500,"18–25 років",Data!M$2:M$500,5)*5)+(COUNTIFS(Data!B$2:B$500,"18–25 років",Data!M$2:M$500,4)*4)+(COUNTIFS(Data!B$2:B$500,"18–25 років",Data!M$2:M$500,3)*3)+(COUNTIFS(Data!B$2:B$500,"18–25 років",Data!M$2:M$500,2)*2)+(COUNTIFS(Data!B$2:B$500,"18–25 років",Data!M$2:M$500,1)*1))/(COUNTIFS(Data!B$2:B$500,"18–25 років",Data!M$2:M$500,5)+(COUNTIFS(Data!B$2:B$500,"18–25 років",Data!M$2:M$500,4)+(COUNTIFS(Data!B$2:B$500,"18–25 років",Data!M$2:M$500,3)+(COUNTIFS(Data!B$2:B$500,"18–25 років",Data!M$2:M$500,2)+(COUNTIFS(Data!B$2:B$500,"18–25 років",Data!M$2:M$500,1))))))</f>
        <v>5</v>
      </c>
      <c r="G61" s="28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4" x14ac:dyDescent="0.3">
      <c r="A62" s="167" t="s">
        <v>75</v>
      </c>
      <c r="B62" s="135"/>
      <c r="C62" s="135"/>
      <c r="D62" s="135"/>
      <c r="E62" s="136"/>
      <c r="F62" s="58">
        <f>((COUNTIFS(Data!B$2:B$500,"26–39 років",Data!M$2:M$500,5)*5)+(COUNTIFS(Data!B$2:B$500,"26–39 років",Data!M$2:M$500,4)*4)+(COUNTIFS(Data!B$2:B$500,"26–39 років",Data!M$2:M$500,3)*3)+(COUNTIFS(Data!B$2:B$500,"26–39 років",Data!M$2:M$500,2)*2)+(COUNTIFS(Data!B$2:B$500,"26–39 років",Data!M$2:M$500,1)*1))/(COUNTIFS(Data!B$2:B$500,"26–39 років",Data!M$2:M$500,5)+(COUNTIFS(Data!B$2:B$500,"26–39 років",Data!M$2:M$500,4)+(COUNTIFS(Data!B$2:B$500,"26–39 років",Data!M$2:M$500,3)+(COUNTIFS(Data!B$2:B$500,"26–39 років",Data!M$2:M$500,2)+(COUNTIFS(Data!B$2:B$500,"26–39 років",Data!M$2:M$500,1))))))</f>
        <v>4.9000000000000004</v>
      </c>
      <c r="G62" s="28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4" x14ac:dyDescent="0.3">
      <c r="A63" s="167" t="s">
        <v>77</v>
      </c>
      <c r="B63" s="135"/>
      <c r="C63" s="135"/>
      <c r="D63" s="135"/>
      <c r="E63" s="136"/>
      <c r="F63" s="58">
        <f>((COUNTIFS(Data!B$2:B$500,"40–59 років",Data!M$2:M$500,5)*5)+(COUNTIFS(Data!B$2:B$500,"40–59 років",Data!M$2:M$500,4)*4)+(COUNTIFS(Data!B$2:B$500,"40–59 років",Data!M$2:M$500,3)*3)+(COUNTIFS(Data!B$2:B$500,"40–59 років",Data!M$2:M$500,2)*2)+(COUNTIFS(Data!B$2:B$500,"40–59 років",Data!M$2:M$500,1)*1))/(COUNTIFS(Data!B$2:B$500,"40–59 років",Data!M$2:M$500,5)+(COUNTIFS(Data!B$2:B$500,"40–59 років",Data!M$2:M$500,4)+(COUNTIFS(Data!B$2:B$500,"40–59 років",Data!M$2:M$500,3)+(COUNTIFS(Data!B$2:B$500,"40–59 років",Data!M$2:M$500,2)+(COUNTIFS(Data!B$2:B$500,"40–59 років",Data!M$2:M$500,1))))))</f>
        <v>4.5</v>
      </c>
      <c r="G63" s="28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4" x14ac:dyDescent="0.3">
      <c r="A64" s="167" t="s">
        <v>79</v>
      </c>
      <c r="B64" s="135"/>
      <c r="C64" s="135"/>
      <c r="D64" s="135"/>
      <c r="E64" s="136"/>
      <c r="F64" s="58">
        <f>((COUNTIFS(Data!B$2:B$500,"60 років і старше",Data!M$2:M$500,5)*5)+(COUNTIFS(Data!B$2:B$500,"60 років і старше",Data!M$2:M$500,4)*4)+(COUNTIFS(Data!B$2:B$500,"60 років і старше",Data!M$2:M$500,3)*3)+(COUNTIFS(Data!B$2:B$500,"60 років і старше",Data!M$2:M$500,2)*2)+(COUNTIFS(Data!B$2:B$500,"60 років і старше",Data!M$2:M$500,1)*1))/(COUNTIFS(Data!B$2:B$500,"60 років і старше",Data!M$2:M$500,5)+(COUNTIFS(Data!B$2:B$500,"60 років і старше",Data!M$2:M$500,4)+(COUNTIFS(Data!B$2:B$500,"60 років і старше",Data!M$2:M$500,3)+(COUNTIFS(Data!B$2:B$500,"60 років і старше",Data!M$2:M$500,2)+(COUNTIFS(Data!B$2:B$500,"60 років і старше",Data!M$2:M$500,1))))))</f>
        <v>4.5</v>
      </c>
      <c r="G64" s="28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4" x14ac:dyDescent="0.3">
      <c r="A65" s="165" t="s">
        <v>81</v>
      </c>
      <c r="B65" s="135"/>
      <c r="C65" s="135"/>
      <c r="D65" s="135"/>
      <c r="E65" s="136"/>
      <c r="F65" s="59">
        <f>((COUNTIFS(Data!C$2:C$500,"жіноча",Data!M$2:M$500,5)*5)+(COUNTIFS(Data!C$2:C$500,"жіноча",Data!M$2:M$500,4)*4)+(COUNTIFS(Data!C$2:C$500,"жіноча",Data!M$2:M$500,3)*3)+(COUNTIFS(Data!C$2:C$500,"жіноча",Data!M$2:M$500,2)*2)+(COUNTIFS(Data!C$2:C$500,"жіноча",Data!M$2:M$500,1)*1))/(COUNTIFS(Data!C$2:C$500,"жіноча",Data!M$2:M$500,5)+(COUNTIFS(Data!C$2:C$500,"жіноча",Data!M$2:M$500,4)+(COUNTIFS(Data!C$2:C$500,"жіноча",Data!M$2:M$500,3)+(COUNTIFS(Data!C$2:C$500,"жіноча",Data!M$2:M$500,2)+(COUNTIFS(Data!C$2:C$500,"жіноча",Data!M$2:M$500,1))))))</f>
        <v>4.7142857142857144</v>
      </c>
      <c r="G65" s="28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4" x14ac:dyDescent="0.3">
      <c r="A66" s="165" t="s">
        <v>84</v>
      </c>
      <c r="B66" s="135"/>
      <c r="C66" s="135"/>
      <c r="D66" s="135"/>
      <c r="E66" s="136"/>
      <c r="F66" s="59">
        <f>((COUNTIFS(Data!C$2:C$500,"чоловіча",Data!M$2:M$500,5)*5)+(COUNTIFS(Data!C$2:C$500,"чоловіча",Data!M$2:M$500,4)*4)+(COUNTIFS(Data!C$2:C$500,"чоловіча",Data!M$2:M$500,3)*3)+(COUNTIFS(Data!C$2:C$500,"чоловіча",Data!M$2:M$500,2)*2)+(COUNTIFS(Data!C$2:C$500,"чоловіча",Data!M$2:M$500,1)*1))/(COUNTIFS(Data!C$2:C$500,"чоловіча",Data!M$2:M$500,5)+(COUNTIFS(Data!C$2:C$500,"чоловіча",Data!M$2:M$500,4)+(COUNTIFS(Data!C$2:C$500,"чоловіча",Data!M$2:M$500,3)+(COUNTIFS(Data!C$2:C$500,"чоловіча",Data!M$2:M$500,2)+(COUNTIFS(Data!C$2:C$500,"чоловіча",Data!M$2:M$500,1))))))</f>
        <v>4.6842105263157894</v>
      </c>
      <c r="G66" s="28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4" x14ac:dyDescent="0.3">
      <c r="A67" s="170" t="s">
        <v>86</v>
      </c>
      <c r="B67" s="135"/>
      <c r="C67" s="135"/>
      <c r="D67" s="135"/>
      <c r="E67" s="136"/>
      <c r="F67" s="60">
        <f>((COUNTIFS(Data!D$2:D$500,"Середня та неповна середня",Data!M$2:M$500,5)*5)+(COUNTIFS(Data!D$2:D$500,"Середня та неповна середня",Data!M$2:M$500,4)*4)+(COUNTIFS(Data!D$2:D$500,"Середня та неповна середня",Data!M$2:M$500,3)*3)+(COUNTIFS(Data!D$2:D$500,"Середня та неповна середня",Data!M$2:M$500,2)*2)+(COUNTIFS(Data!D$2:D$500,"Середня та неповна середня",Data!M$2:M$500,1)*1))/(COUNTIFS(Data!D$2:D$500,"Середня та неповна середня",Data!M$2:M$500,5)+(COUNTIFS(Data!D$2:D$500,"Середня та неповна середня",Data!M$2:M$500,4)+(COUNTIFS(Data!D$2:D$500,"Середня та неповна середня",Data!M$2:M$500,3)+(COUNTIFS(Data!D$2:D$500,"Середня та неповна середня",Data!M$2:M$500,2)+(COUNTIFS(Data!D$2:D$500,"Середня та неповна середня",Data!M$2:M$500,1))))))</f>
        <v>4.625</v>
      </c>
      <c r="G67" s="28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4" x14ac:dyDescent="0.3">
      <c r="A68" s="170" t="s">
        <v>88</v>
      </c>
      <c r="B68" s="135"/>
      <c r="C68" s="135"/>
      <c r="D68" s="135"/>
      <c r="E68" s="136"/>
      <c r="F68" s="60">
        <f>((COUNTIFS(Data!D$2:D$500,"Вища та неповна вища",Data!M$2:M$500,5)*5)+(COUNTIFS(Data!D$2:D$500,"Вища та неповна вища",Data!M$2:M$500,4)*4)+(COUNTIFS(Data!D$2:D$500,"Вища та неповна вища",Data!M$2:M$500,3)*3)+(COUNTIFS(Data!D$2:D$500,"Вища та неповна вища",Data!M$2:M$500,2)*2)+(COUNTIFS(Data!D$2:D$500,"Вища та неповна вища",Data!M$2:M$500,1)*1))/(COUNTIFS(Data!D$2:D$500,"Вища та неповна вища",Data!M$2:M$500,5)+(COUNTIFS(Data!D$2:D$500,"Вища та неповна вища",Data!M$2:M$500,4)+(COUNTIFS(Data!D$2:D$500,"Вища та неповна вища",Data!M$2:M$500,3)+(COUNTIFS(Data!D$2:D$500,"Вища та неповна вища",Data!M$2:M$500,2)+(COUNTIFS(Data!D$2:D$500,"Вища та неповна вища",Data!M$2:M$500,1))))))</f>
        <v>4.7058823529411766</v>
      </c>
      <c r="G68" s="28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4" x14ac:dyDescent="0.3">
      <c r="A69" s="170" t="s">
        <v>90</v>
      </c>
      <c r="B69" s="135"/>
      <c r="C69" s="135"/>
      <c r="D69" s="135"/>
      <c r="E69" s="136"/>
      <c r="F69" s="60">
        <f>((COUNTIFS(Data!D$2:D$500,"Інше (вкажіть)",Data!M$2:M$500,5)*5)+(COUNTIFS(Data!D$2:D$500,"Інше (вкажіть)",Data!M$2:M$500,4)*4)+(COUNTIFS(Data!D$2:D$500,"Інше (вкажіть)",Data!M$2:M$500,3)*3)+(COUNTIFS(Data!D$2:D$500,"Інше (вкажіть)",Data!M$2:M$500,2)*2)+(COUNTIFS(Data!D$2:D$500,"Інше (вкажіть)",Data!M$2:M$500,1)*1))/(COUNTIFS(Data!D$2:D$500,"Інше (вкажіть)",Data!M$2:M$500,5)+(COUNTIFS(Data!D$2:D$500,"Інше (вкажіть)",Data!M$2:M$500,4)+(COUNTIFS(Data!D$2:D$500,"Інше (вкажіть)",Data!M$2:M$500,3)+(COUNTIFS(Data!D$2:D$500,"Інше (вкажіть)",Data!M$2:M$500,2)+(COUNTIFS(Data!D$2:D$500,"Інше (вкажіть)",Data!M$2:M$500,1))))))</f>
        <v>5</v>
      </c>
      <c r="G69" s="28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4" x14ac:dyDescent="0.3">
      <c r="A70" s="171" t="s">
        <v>92</v>
      </c>
      <c r="B70" s="135"/>
      <c r="C70" s="135"/>
      <c r="D70" s="135"/>
      <c r="E70" s="136"/>
      <c r="F70" s="61">
        <f>((COUNTIFS(Data!E$2:E$500,"Так",Data!M$2:M$500,5)*5)+(COUNTIFS(Data!E$2:E$500,"Так",Data!M$2:M$500,4)*4)+(COUNTIFS(Data!E$2:E$500,"Так",Data!M$2:M$500,3)*3)+(COUNTIFS(Data!E$2:E$500,"Так",Data!M$2:M$500,2)*2)+(COUNTIFS(Data!E$2:E$500,"Так",Data!M$2:M$500,1)*1))/(COUNTIFS(Data!E$2:E$500,"Так",Data!M$2:M$500,5)+(COUNTIFS(Data!E$2:E$500,"Так",Data!M$2:M$500,4)+(COUNTIFS(Data!E$2:E$500,"Так",Data!M$2:M$500,3)+(COUNTIFS(Data!E$2:E$500,"Так",Data!M$2:M$500,2)+(COUNTIFS(Data!E$2:E$500,"Так",Data!M$2:M$500,1))))))</f>
        <v>4.75</v>
      </c>
      <c r="G70" s="28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4" x14ac:dyDescent="0.3">
      <c r="A71" s="171" t="s">
        <v>95</v>
      </c>
      <c r="B71" s="135"/>
      <c r="C71" s="135"/>
      <c r="D71" s="135"/>
      <c r="E71" s="136"/>
      <c r="F71" s="61">
        <f>((COUNTIFS(Data!E$2:E$500,"Ні",Data!M$2:M$500,5)*5)+(COUNTIFS(Data!E$2:E$500,"Ні",Data!M$2:M$500,4)*4)+(COUNTIFS(Data!E$2:E$500,"Ні",Data!M$2:M$500,3)*3)+(COUNTIFS(Data!E$2:E$500,"Ні",Data!M$2:M$500,2)*2)+(COUNTIFS(Data!E$2:E$500,"Ні",Data!M$2:M$500,1)*1))/(COUNTIFS(Data!E$2:E$500,"Ні",Data!M$2:M$500,5)+(COUNTIFS(Data!E$2:E$500,"Ні",Data!M$2:M$500,4)+(COUNTIFS(Data!E$2:E$500,"Ні",Data!M$2:M$500,3)+(COUNTIFS(Data!E$2:E$500,"Ні",Data!M$2:M$500,2)+(COUNTIFS(Data!E$2:E$500,"Ні",Data!M$2:M$500,1))))))</f>
        <v>4.6428571428571432</v>
      </c>
      <c r="G71" s="28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4" x14ac:dyDescent="0.3">
      <c r="A72" s="169" t="s">
        <v>97</v>
      </c>
      <c r="B72" s="135"/>
      <c r="C72" s="135"/>
      <c r="D72" s="135"/>
      <c r="E72" s="136"/>
      <c r="F72" s="62">
        <f>((COUNTIFS(Data!F$2:F$500,"В населеному пункті, де розташований цей суд",Data!M$2:M$500,5)*5)+(COUNTIFS(Data!F$2:F$500,"В населеному пункті, де розташований цей суд",Data!M$2:M$500,4)*4)+(COUNTIFS(Data!F$2:F$500,"В населеному пункті, де розташований цей суд",Data!M$2:M$500,3)*3)+(COUNTIFS(Data!F$2:F$500,"В населеному пункті, де розташований цей суд",Data!M$2:M$500,2)*2)+(COUNTIFS(Data!F$2:F$500,"В населеному пункті, де розташований цей суд",Data!M$2:M$500,1)*1))/(COUNTIFS(Data!F$2:F$500,"В населеному пункті, де розташований цей суд",Data!M$2:M$500,5)+(COUNTIFS(Data!F$2:F$500,"В населеному пункті, де розташований цей суд",Data!M$2:M$500,4)+(COUNTIFS(Data!F$2:F$500,"В населеному пункті, де розташований цей суд",Data!M$2:M$500,3)+(COUNTIFS(Data!F$2:F$500,"В населеному пункті, де розташований цей суд",Data!M$2:M$500,2)+(COUNTIFS(Data!F$2:F$500,"В населеному пункті, де розташований цей суд",Data!M$2:M$500,1))))))</f>
        <v>4.666666666666667</v>
      </c>
      <c r="G72" s="28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4" x14ac:dyDescent="0.3">
      <c r="A73" s="169" t="s">
        <v>99</v>
      </c>
      <c r="B73" s="135"/>
      <c r="C73" s="135"/>
      <c r="D73" s="135"/>
      <c r="E73" s="136"/>
      <c r="F73" s="62">
        <f>((COUNTIFS(Data!F$2:F$500,"В іншому населеному пункті",Data!M$2:M$500,5)*5)+(COUNTIFS(Data!F$2:F$500,"В іншому населеному пункті",Data!M$2:M$500,4)*4)+(COUNTIFS(Data!F$2:F$500,"В іншому населеному пункті",Data!M$2:M$500,3)*3)+(COUNTIFS(Data!F$2:F$500,"В іншому населеному пункті",Data!M$2:M$500,2)*2)+(COUNTIFS(Data!F$2:F$500,"В іншому населеному пункті",Data!M$2:M$500,1)*1))/(COUNTIFS(Data!F$2:F$500,"В іншому населеному пункті",Data!M$2:M$500,5)+(COUNTIFS(Data!F$2:F$500,"В іншому населеному пункті",Data!M$2:M$500,4)+(COUNTIFS(Data!F$2:F$500,"В іншому населеному пункті",Data!M$2:M$500,3)+(COUNTIFS(Data!F$2:F$500,"В іншому населеному пункті",Data!M$2:M$500,2)+(COUNTIFS(Data!F$2:F$500,"В іншому населеному пункті",Data!M$2:M$500,1))))))</f>
        <v>4.7058823529411766</v>
      </c>
      <c r="G73" s="28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4" x14ac:dyDescent="0.3">
      <c r="A74" s="162" t="s">
        <v>101</v>
      </c>
      <c r="B74" s="135"/>
      <c r="C74" s="135"/>
      <c r="D74" s="135"/>
      <c r="E74" s="136"/>
      <c r="F74" s="63">
        <f>((COUNTIFS(Data!G$2:G$500,"Змушені економити на харчуванні",Data!M$2:M$500,5)*5)+(COUNTIFS(Data!G$2:G$500,"Змушені економити на харчуванні",Data!M$2:M$500,4)*4)+(COUNTIFS(Data!G$2:G$500,"Змушені економити на харчуванні",Data!M$2:M$500,3)*3)+(COUNTIFS(Data!G$2:G$500,"Змушені економити на харчуванні",Data!M$2:M$500,2)*2)+(COUNTIFS(Data!G$2:G$500,"Змушені економити на харчуванні",Data!M$2:M$500,1)*1))/(COUNTIFS(Data!G$2:G$500,"Змушені економити на харчуванні",Data!M$2:M$500,5)+(COUNTIFS(Data!G$2:G$500,"Змушені економити на харчуванні",Data!M$2:M$500,4)+(COUNTIFS(Data!G$2:G$500,"Змушені економити на харчуванні",Data!M$2:M$500,3)+(COUNTIFS(Data!G$2:G$500,"Змушені економити на харчуванні",Data!M$2:M$500,2)+(COUNTIFS(Data!G$2:G$500,"Змушені економити на харчуванні",Data!M$2:M$500,1))))))</f>
        <v>4.25</v>
      </c>
      <c r="G74" s="28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4" x14ac:dyDescent="0.3">
      <c r="A75" s="162" t="s">
        <v>103</v>
      </c>
      <c r="B75" s="135"/>
      <c r="C75" s="135"/>
      <c r="D75" s="135"/>
      <c r="E75" s="136"/>
      <c r="F75" s="63">
        <f>((COUNTIFS(Data!G$2:G$500,"Вистачає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позичити",Data!M$2:M$500,5)*5)+(COUNTIFS(Data!G$2:G$500,"Вистачає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позичити",Data!M$2:M$500,4)*4)+(COUNTIFS(Data!G$2:G$500,"Вистачає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позичити",Data!M$2:M$500,3)*3)+(COUNTIFS(Data!G$2:G$500,"Вистачає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позичити",Data!M$2:M$500,2)*2)+(COUNTIFS(Data!G$2:G$500,"Вистачає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позичити",Data!M$2:M$500,1)*1))/(COUNTIFS(Data!G$2:G$500,"Вистачає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позичити",Data!M$2:M$500,1))))))</f>
        <v>5</v>
      </c>
      <c r="G75" s="28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4" x14ac:dyDescent="0.3">
      <c r="A76" s="162" t="s">
        <v>106</v>
      </c>
      <c r="B76" s="135"/>
      <c r="C76" s="135"/>
      <c r="D76" s="135"/>
      <c r="E76" s="136"/>
      <c r="F76" s="63">
        <f>((COUNTIFS(Data!G$2:G$500,"Вистачає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позичити",Data!M$2:M$500,5)*5)+(COUNTIFS(Data!G$2:G$500,"Вистачає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позичити",Data!M$2:M$500,4)*4)+(COUNTIFS(Data!G$2:G$500,"Вистачає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позичити",Data!M$2:M$500,3)*3)+(COUNTIFS(Data!G$2:G$500,"Вистачає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позичити",Data!M$2:M$500,2)*2)+(COUNTIFS(Data!G$2:G$500,"Вистачає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позичити",Data!M$2:M$500,1)*1))/(COUNTIFS(Data!G$2:G$500,"Вистачає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позичити",Data!M$2:M$500,1))))))</f>
        <v>4.8</v>
      </c>
      <c r="G76" s="28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4" x14ac:dyDescent="0.3">
      <c r="A77" s="162" t="s">
        <v>108</v>
      </c>
      <c r="B77" s="135"/>
      <c r="C77" s="135"/>
      <c r="D77" s="135"/>
      <c r="E77" s="136"/>
      <c r="F77" s="63">
        <f>((COUNTIFS(Data!G$2:G$500,"Вистачає на харчування, одяг, взуття, дорогі покупки. Для таких покупок як машина, квартира необхідно заощадити або позичити",Data!M$2:M$500,5)*5)+(COUNTIFS(Data!G$2:G$500,"Вистачає на харчування, одяг, взуття, дорогі покупки. Для таких покупок як машина, квартира необхідно заощадити або позичити",Data!M$2:M$500,4)*4)+(COUNTIFS(Data!G$2:G$500,"Вистачає на харчування, одяг, взуття, дорогі покупки. Для таких покупок як машина, квартира необхідно заощадити або позичити",Data!M$2:M$500,3)*3)+(COUNTIFS(Data!G$2:G$500,"Вистачає на харчування, одяг, взуття, дорогі покупки. Для таких покупок як машина, квартира необхідно заощадити або позичити",Data!M$2:M$500,2)*2)+(COUNTIFS(Data!G$2:G$500,"Вистачає на харчування, одяг, взуття, дорогі покупки. Для таких покупок як машина, квартира необхідно заощадити або позичити",Data!M$2:M$500,1)*1))/(COUNTIFS(Data!G$2:G$500,"Вистачає на харчування, одяг, взуття, дорогі покупки. Для таких покупок як машина, квартира необхідно заощадити або позичити",Data!M$2:M$500,5)+(COUNTIFS(Data!G$2:G$500,"Вистачає на харчування, одяг, взуття, дорогі покупки. Для таких покупок як машина, квартира необхідно заощадити або позичити",Data!M$2:M$500,4)+(COUNTIFS(Data!G$2:G$500,"Вистачає на харчування, одяг, взуття, дорогі покупки. Для таких покупок як машина, квартира необхідно заощадити або позичити",Data!M$2:M$500,3)+(COUNTIFS(Data!G$2:G$500,"Вистачає на харчування, одяг, взуття, дорогі покупки. Для таких покупок як машина, квартира необхідно заощадити або позичити",Data!M$2:M$500,2)+(COUNTIFS(Data!G$2:G$500,"Вистачає на харчування, одяг, взуття, дорогі покупки. Для таких покупок як машина, квартира необхідно заощадити або позичити",Data!M$2:M$500,1))))))</f>
        <v>4.6363636363636367</v>
      </c>
      <c r="G77" s="28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4" x14ac:dyDescent="0.3">
      <c r="A78" s="162" t="s">
        <v>110</v>
      </c>
      <c r="B78" s="135"/>
      <c r="C78" s="135"/>
      <c r="D78" s="135"/>
      <c r="E78" s="136"/>
      <c r="F78" s="63" t="e">
        <f>((COUNTIFS(Data!G$2:G$500,"Будь-які необхідні покупки можу зробити в будь-який час",Data!M$2:M$500,5)*5)+(COUNTIFS(Data!G$2:G$500,"Будь-які необхідні покупки можу зробити в будь-який час",Data!M$2:M$500,4)*4)+(COUNTIFS(Data!G$2:G$500,"Будь-які необхідні покупки можу зробити в будь-який час",Data!M$2:M$500,3)*3)+(COUNTIFS(Data!G$2:G$500,"Будь-які необхідні покупки можу зробити в будь-який час",Data!M$2:M$500,2)*2)+(COUNTIFS(Data!G$2:G$500,"Будь-які необхідні покупки можу зробити в будь-який час",Data!M$2:M$500,1)*1))/(COUNTIFS(Data!G$2:G$500,"Будь-які необхідні покупки можу зробити в будь-який час",Data!M$2:M$500,5)+(COUNTIFS(Data!G$2:G$500,"Будь-які необхідні покупки можу зробити в будь-який час",Data!M$2:M$500,4)+(COUNTIFS(Data!G$2:G$500,"Будь-які необхідні покупки можу зробити в будь-який час",Data!M$2:M$500,3)+(COUNTIFS(Data!G$2:G$500,"Будь-які необхідні покупки можу зробити в будь-який час",Data!M$2:M$500,2)+(COUNTIFS(Data!G$2:G$500,"Будь-які необхідні покупки можу зробити в будь-який час",Data!M$2:M$500,1))))))</f>
        <v>#DIV/0!</v>
      </c>
      <c r="G78" s="28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4" x14ac:dyDescent="0.3">
      <c r="A79" s="162" t="s">
        <v>111</v>
      </c>
      <c r="B79" s="135"/>
      <c r="C79" s="135"/>
      <c r="D79" s="135"/>
      <c r="E79" s="136"/>
      <c r="F79" s="63">
        <f>((COUNTIFS(Data!G$2:G$500,"КН (код невідповіді)",Data!M$2:M$500,5)*5)+(COUNTIFS(Data!G$2:G$500,"КН (код невідповіді)",Data!M$2:M$500,4)*4)+(COUNTIFS(Data!G$2:G$500,"КН (код невідповіді)",Data!M$2:M$500,3)*3)+(COUNTIFS(Data!G$2:G$500,"КН (код невідповіді)",Data!M$2:M$500,2)*2)+(COUNTIFS(Data!G$2:G$500,"КН (код невідповіді)",Data!M$2:M$500,1)*1))/(COUNTIFS(Data!G$2:G$500,"КН (код невідповіді)",Data!M$2:M$500,5)+(COUNTIFS(Data!G$2:G$500,"КН (код невідповіді)",Data!M$2:M$500,4)+(COUNTIFS(Data!G$2:G$500,"КН (код невідповіді)",Data!M$2:M$500,3)+(COUNTIFS(Data!G$2:G$500,"КН (код невідповіді)",Data!M$2:M$500,2)+(COUNTIFS(Data!G$2:G$500,"КН (код невідповіді)",Data!M$2:M$500,1))))))</f>
        <v>5</v>
      </c>
      <c r="G79" s="28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4" x14ac:dyDescent="0.3">
      <c r="A80" s="168" t="s">
        <v>113</v>
      </c>
      <c r="B80" s="135"/>
      <c r="C80" s="135"/>
      <c r="D80" s="135"/>
      <c r="E80" s="136"/>
      <c r="F80" s="72">
        <f>((COUNTIFS(Data!H$2:H$500,"Є учасником судових проваджень і представляєте особисто себе",Data!M$2:M$500,5)*5)+(COUNTIFS(Data!H$2:H$500,"Є учасником судових проваджень і представляєте особисто себе",Data!M$2:M$500,4)*4)+(COUNTIFS(Data!H$2:H$500,"Є учасником судових проваджень і представляєте особисто себе",Data!M$2:M$500,3)*3)+(COUNTIFS(Data!H$2:H$500,"Є учасником судових проваджень і представляєте особисто себе",Data!M$2:M$500,2)*2)+(COUNTIFS(Data!H$2:H$500,"Є учасником судових проваджень і представляєте особисто себе",Data!M$2:M$500,1)*1))/(COUNTIFS(Data!H$2:H$500,"Є учасником судових проваджень і представляєте особисто себе",Data!M$2:M$500,5)+(COUNTIFS(Data!H$2:H$500,"Є учасником судових проваджень і представляєте особисто себе",Data!M$2:M$500,4)+(COUNTIFS(Data!H$2:H$500,"Є учасником судових проваджень і представляєте особисто себе",Data!M$2:M$500,3)+(COUNTIFS(Data!H$2:H$500,"Є учасником судових проваджень і представляєте особисто себе",Data!M$2:M$500,2)+(COUNTIFS(Data!H$2:H$500,"Є учасником судових проваджень і представляєте особисто себе",Data!M$2:M$500,1))))))</f>
        <v>4.7692307692307692</v>
      </c>
      <c r="G80" s="28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4" x14ac:dyDescent="0.3">
      <c r="A81" s="168" t="s">
        <v>118</v>
      </c>
      <c r="B81" s="135"/>
      <c r="C81" s="135"/>
      <c r="D81" s="135"/>
      <c r="E81" s="136"/>
      <c r="F81" s="72">
        <f>((COUNTIFS(Data!H$2:H$500,"Є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юрист-консультантом)",Data!M$2:M$500,5)*5)+(COUNTIFS(Data!H$2:H$500,"Є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юрист-консультантом)",Data!M$2:M$500,4)*4)+(COUNTIFS(Data!H$2:H$500,"Є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юрист-консультантом)",Data!M$2:M$500,3)*3)+(COUNTIFS(Data!H$2:H$500,"Є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юрист-консультантом)",Data!M$2:M$500,2)*2)+(COUNTIFS(Data!H$2:H$500,"Є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юрист-консультантом)",Data!M$2:M$500,1)*1))/(COUNTIFS(Data!H$2:H$500,"Є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юрист-консультантом)",Data!M$2:M$500,1))))))</f>
        <v>4.666666666666667</v>
      </c>
      <c r="G81" s="28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4" x14ac:dyDescent="0.3">
      <c r="A82" s="168" t="s">
        <v>121</v>
      </c>
      <c r="B82" s="135"/>
      <c r="C82" s="135"/>
      <c r="D82" s="135"/>
      <c r="E82" s="136"/>
      <c r="F82" s="72">
        <f>((COUNTIFS(Data!H$2:H$500,"Не є учасником судових проваджень",Data!M$2:M$500,5)*5)+(COUNTIFS(Data!H$2:H$500,"Не є учасником судових проваджень",Data!M$2:M$500,4)*4)+(COUNTIFS(Data!H$2:H$500,"Не є учасником судових проваджень",Data!M$2:M$500,3)*3)+(COUNTIFS(Data!H$2:H$500,"Не є учасником судових проваджень",Data!M$2:M$500,2)*2)+(COUNTIFS(Data!H$2:H$500,"Не є учасником судових проваджень",Data!M$2:M$500,1)*1))/(COUNTIFS(Data!H$2:H$500,"Не є учасником судових проваджень",Data!M$2:M$500,5)+(COUNTIFS(Data!H$2:H$500,"Не є учасником судових проваджень",Data!M$2:M$500,4)+(COUNTIFS(Data!H$2:H$500,"Не є учасником судових проваджень",Data!M$2:M$500,3)+(COUNTIFS(Data!H$2:H$500,"Не є учасником судових проваджень",Data!M$2:M$500,2)+(COUNTIFS(Data!H$2:H$500,"Не є учасником судових проваджень",Data!M$2:M$500,1))))))</f>
        <v>4</v>
      </c>
      <c r="G82" s="28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4" x14ac:dyDescent="0.3">
      <c r="A83" s="168" t="s">
        <v>100</v>
      </c>
      <c r="B83" s="135"/>
      <c r="C83" s="135"/>
      <c r="D83" s="135"/>
      <c r="E83" s="136"/>
      <c r="F83" s="72">
        <f>((COUNTIFS(Data!H$2:H$500,"Інше",Data!M$2:M$500,5)*5)+(COUNTIFS(Data!H$2:H$500,"Інше",Data!M$2:M$500,4)*4)+(COUNTIFS(Data!H$2:H$500,"Інше",Data!M$2:M$500,3)*3)+(COUNTIFS(Data!H$2:H$500,"Інше",Data!M$2:M$500,2)*2)+(COUNTIFS(Data!H$2:H$500,"Інше",Data!M$2:M$500,1)*1))/(COUNTIFS(Data!H$2:H$500,"Інше",Data!M$2:M$500,5)+(COUNTIFS(Data!H$2:H$500,"Інше",Data!M$2:M$500,4)+(COUNTIFS(Data!H$2:H$500,"Інше",Data!M$2:M$500,3)+(COUNTIFS(Data!H$2:H$500,"Інше",Data!M$2:M$500,2)+(COUNTIFS(Data!H$2:H$500,"Інше",Data!M$2:M$500,1))))))</f>
        <v>5</v>
      </c>
      <c r="G83" s="28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4" x14ac:dyDescent="0.3">
      <c r="A84" s="165" t="s">
        <v>126</v>
      </c>
      <c r="B84" s="135"/>
      <c r="C84" s="135"/>
      <c r="D84" s="135"/>
      <c r="E84" s="136"/>
      <c r="F84" s="59">
        <f>((COUNTIFS(Data!I$2:I$500,"Цивільний процес",Data!M$2:M$500,5)*5)+(COUNTIFS(Data!I$2:I$500,"Цивільний процес",Data!M$2:M$500,4)*4)+(COUNTIFS(Data!I$2:I$500,"Цивільний процес",Data!M$2:M$500,3)*3)+(COUNTIFS(Data!I$2:I$500,"Цивільний процес",Data!M$2:M$500,2)*2)+(COUNTIFS(Data!I$2:I$500,"Цивільний процес",Data!M$2:M$500,1)*1))/(COUNTIFS(Data!I$2:I$500,"Цивільний процес",Data!M$2:M$500,5)+(COUNTIFS(Data!I$2:I$500,"Цивільний процес",Data!M$2:M$500,4)+(COUNTIFS(Data!I$2:I$500,"Цивільний процес",Data!M$2:M$500,3)+(COUNTIFS(Data!I$2:I$500,"Цивільний процес",Data!M$2:M$500,2)+(COUNTIFS(Data!I$2:I$500,"Цивільний процес",Data!M$2:M$500,1))))))</f>
        <v>4.6875</v>
      </c>
      <c r="G84" s="28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4" x14ac:dyDescent="0.3">
      <c r="A85" s="165" t="s">
        <v>128</v>
      </c>
      <c r="B85" s="135"/>
      <c r="C85" s="135"/>
      <c r="D85" s="135"/>
      <c r="E85" s="136"/>
      <c r="F85" s="59">
        <f>((COUNTIFS(Data!I$2:I$500,"Кримінальний процес",Data!M$2:M$500,5)*5)+(COUNTIFS(Data!I$2:I$500,"Кримінальний процес",Data!M$2:M$500,4)*4)+(COUNTIFS(Data!I$2:I$500,"Кримінальний процес",Data!M$2:M$500,3)*3)+(COUNTIFS(Data!I$2:I$500,"Кримінальний процес",Data!M$2:M$500,2)*2)+(COUNTIFS(Data!I$2:I$500,"Кримінальний процес",Data!M$2:M$500,1)*1))/(COUNTIFS(Data!I$2:I$500,"Кримінальний процес",Data!M$2:M$500,5)+(COUNTIFS(Data!I$2:I$500,"Кримінальний процес",Data!M$2:M$500,4)+(COUNTIFS(Data!I$2:I$500,"Кримінальний процес",Data!M$2:M$500,3)+(COUNTIFS(Data!I$2:I$500,"Кримінальний процес",Data!M$2:M$500,2)+(COUNTIFS(Data!I$2:I$500,"Кримінальний процес",Data!M$2:M$500,1))))))</f>
        <v>5</v>
      </c>
      <c r="G85" s="28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4" x14ac:dyDescent="0.3">
      <c r="A86" s="165" t="s">
        <v>131</v>
      </c>
      <c r="B86" s="135"/>
      <c r="C86" s="135"/>
      <c r="D86" s="135"/>
      <c r="E86" s="136"/>
      <c r="F86" s="59">
        <f>((COUNTIFS(Data!I$2:I$500,"Адміністративний процес",Data!M$2:M$500,5)*5)+(COUNTIFS(Data!I$2:I$500,"Адміністративний процес",Data!M$2:M$500,4)*4)+(COUNTIFS(Data!I$2:I$500,"Адміністративний процес",Data!M$2:M$500,3)*3)+(COUNTIFS(Data!I$2:I$500,"Адміністративний процес",Data!M$2:M$500,2)*2)+(COUNTIFS(Data!I$2:I$500,"Адміністративний процес",Data!M$2:M$500,1)*1))/(COUNTIFS(Data!I$2:I$500,"Адміністративний процес",Data!M$2:M$500,5)+(COUNTIFS(Data!I$2:I$500,"Адміністративний процес",Data!M$2:M$500,4)+(COUNTIFS(Data!I$2:I$500,"Адміністративний процес",Data!M$2:M$500,3)+(COUNTIFS(Data!I$2:I$500,"Адміністративний процес",Data!M$2:M$500,2)+(COUNTIFS(Data!I$2:I$500,"Адміністративний процес",Data!M$2:M$500,1))))))</f>
        <v>4.5</v>
      </c>
      <c r="G86" s="28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4" x14ac:dyDescent="0.3">
      <c r="A87" s="165" t="s">
        <v>133</v>
      </c>
      <c r="B87" s="135"/>
      <c r="C87" s="135"/>
      <c r="D87" s="135"/>
      <c r="E87" s="136"/>
      <c r="F87" s="59" t="e">
        <f>((COUNTIFS(Data!I$2:I$500,"Господарський процес",Data!M$2:M$500,5)*5)+(COUNTIFS(Data!I$2:I$500,"Господарський процес",Data!M$2:M$500,4)*4)+(COUNTIFS(Data!I$2:I$500,"Господарський процес",Data!M$2:M$500,3)*3)+(COUNTIFS(Data!I$2:I$500,"Господарський процес",Data!M$2:M$500,2)*2)+(COUNTIFS(Data!I$2:I$500,"Господарський процес",Data!M$2:M$500,1)*1))/(COUNTIFS(Data!I$2:I$500,"Господарський процес",Data!M$2:M$500,5)+(COUNTIFS(Data!I$2:I$500,"Господарський процес",Data!M$2:M$500,4)+(COUNTIFS(Data!I$2:I$500,"Господарський процес",Data!M$2:M$500,3)+(COUNTIFS(Data!I$2:I$500,"Господарський процес",Data!M$2:M$500,2)+(COUNTIFS(Data!I$2:I$500,"Господарський процес",Data!M$2:M$500,1))))))</f>
        <v>#DIV/0!</v>
      </c>
      <c r="G87" s="28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4" x14ac:dyDescent="0.3">
      <c r="A88" s="165" t="s">
        <v>135</v>
      </c>
      <c r="B88" s="135"/>
      <c r="C88" s="135"/>
      <c r="D88" s="135"/>
      <c r="E88" s="136"/>
      <c r="F88" s="59">
        <f>((COUNTIFS(Data!I$2:I$500,"Справа про адміністративні  правопорушення",Data!M$2:M$500,5)*5)+(COUNTIFS(Data!I$2:I$500,"Справа про адміністративні  правопорушення",Data!M$2:M$500,4)*4)+(COUNTIFS(Data!I$2:I$500,"Справа про адміністративні  правопорушення",Data!M$2:M$500,3)*3)+(COUNTIFS(Data!I$2:I$500,"Справа про адміністративні  правопорушення",Data!M$2:M$500,2)*2)+(COUNTIFS(Data!I$2:I$500,"Справа про адміністративні  правопорушення",Data!M$2:M$500,1)*1))/(COUNTIFS(Data!I$2:I$500,"Справа про адміністративні  правопорушення",Data!M$2:M$500,5)+(COUNTIFS(Data!I$2:I$500,"Справа про адміністративні  правопорушення",Data!M$2:M$500,4)+(COUNTIFS(Data!I$2:I$500,"Справа про адміністративні  правопорушення",Data!M$2:M$500,3)+(COUNTIFS(Data!I$2:I$500,"Справа про адміністративні  правопорушення",Data!M$2:M$500,2)+(COUNTIFS(Data!I$2:I$500,"Справа про адміністративні  правопорушення",Data!M$2:M$500,1))))))</f>
        <v>5</v>
      </c>
      <c r="G88" s="28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6" x14ac:dyDescent="0.3">
      <c r="A89" s="65"/>
      <c r="B89" s="65"/>
      <c r="C89" s="65"/>
      <c r="D89" s="65"/>
      <c r="E89" s="65"/>
      <c r="F89" s="1"/>
      <c r="G89" s="28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6" x14ac:dyDescent="0.3">
      <c r="A90" s="65"/>
      <c r="B90" s="65"/>
      <c r="C90" s="65"/>
      <c r="D90" s="65"/>
      <c r="E90" s="65"/>
      <c r="F90" s="1"/>
      <c r="G90" s="28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6" x14ac:dyDescent="0.3">
      <c r="A91" s="65"/>
      <c r="B91" s="65"/>
      <c r="C91" s="65"/>
      <c r="D91" s="65"/>
      <c r="E91" s="65"/>
      <c r="F91" s="1"/>
      <c r="G91" s="28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6" x14ac:dyDescent="0.3">
      <c r="A92" s="65"/>
      <c r="B92" s="65"/>
      <c r="C92" s="65"/>
      <c r="D92" s="65"/>
      <c r="E92" s="65"/>
      <c r="F92" s="1"/>
      <c r="G92" s="28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6" x14ac:dyDescent="0.3">
      <c r="A93" s="65"/>
      <c r="B93" s="65"/>
      <c r="C93" s="65"/>
      <c r="D93" s="65"/>
      <c r="E93" s="65"/>
      <c r="F93" s="1"/>
      <c r="G93" s="28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6" x14ac:dyDescent="0.3">
      <c r="A94" s="65"/>
      <c r="B94" s="65"/>
      <c r="C94" s="65"/>
      <c r="D94" s="65"/>
      <c r="E94" s="65"/>
      <c r="F94" s="1"/>
      <c r="G94" s="28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6" x14ac:dyDescent="0.3">
      <c r="A95" s="65"/>
      <c r="B95" s="65"/>
      <c r="C95" s="65"/>
      <c r="D95" s="65"/>
      <c r="E95" s="65"/>
      <c r="F95" s="1"/>
      <c r="G95" s="28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2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2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2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2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2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2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</sheetData>
  <mergeCells count="54">
    <mergeCell ref="A32:E32"/>
    <mergeCell ref="A31:E31"/>
    <mergeCell ref="A48:E48"/>
    <mergeCell ref="A49:E49"/>
    <mergeCell ref="A3:G3"/>
    <mergeCell ref="A21:E21"/>
    <mergeCell ref="A20:E20"/>
    <mergeCell ref="A41:E41"/>
    <mergeCell ref="A24:E24"/>
    <mergeCell ref="A29:E29"/>
    <mergeCell ref="A30:E30"/>
    <mergeCell ref="A26:E26"/>
    <mergeCell ref="A25:E25"/>
    <mergeCell ref="A22:E22"/>
    <mergeCell ref="A23:E23"/>
    <mergeCell ref="A28:E28"/>
    <mergeCell ref="A74:E74"/>
    <mergeCell ref="A73:E73"/>
    <mergeCell ref="A69:E69"/>
    <mergeCell ref="A68:E68"/>
    <mergeCell ref="A67:E67"/>
    <mergeCell ref="A70:E70"/>
    <mergeCell ref="A72:E72"/>
    <mergeCell ref="A71:E71"/>
    <mergeCell ref="A85:E85"/>
    <mergeCell ref="A86:E86"/>
    <mergeCell ref="A87:E87"/>
    <mergeCell ref="A88:E88"/>
    <mergeCell ref="A60:E60"/>
    <mergeCell ref="A62:E62"/>
    <mergeCell ref="A63:E63"/>
    <mergeCell ref="A61:E61"/>
    <mergeCell ref="A65:E65"/>
    <mergeCell ref="A66:E66"/>
    <mergeCell ref="A64:E64"/>
    <mergeCell ref="A81:E81"/>
    <mergeCell ref="A80:E80"/>
    <mergeCell ref="A82:E82"/>
    <mergeCell ref="A83:E83"/>
    <mergeCell ref="A84:E84"/>
    <mergeCell ref="A55:E55"/>
    <mergeCell ref="A54:E54"/>
    <mergeCell ref="A50:E50"/>
    <mergeCell ref="A51:E51"/>
    <mergeCell ref="A59:E59"/>
    <mergeCell ref="A56:E56"/>
    <mergeCell ref="A53:E53"/>
    <mergeCell ref="A58:E58"/>
    <mergeCell ref="A57:E57"/>
    <mergeCell ref="A77:E77"/>
    <mergeCell ref="A78:E78"/>
    <mergeCell ref="A76:E76"/>
    <mergeCell ref="A75:E75"/>
    <mergeCell ref="A79:E7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H61"/>
  <sheetViews>
    <sheetView workbookViewId="0"/>
  </sheetViews>
  <sheetFormatPr defaultColWidth="14.44140625" defaultRowHeight="15.75" customHeight="1" x14ac:dyDescent="0.25"/>
  <sheetData>
    <row r="61" spans="8:8" ht="15.75" customHeight="1" x14ac:dyDescent="0.25">
      <c r="H61" s="10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H98"/>
  <sheetViews>
    <sheetView workbookViewId="0"/>
  </sheetViews>
  <sheetFormatPr defaultColWidth="14.44140625" defaultRowHeight="15.75" customHeight="1" x14ac:dyDescent="0.25"/>
  <cols>
    <col min="1" max="1" width="75.44140625" customWidth="1"/>
    <col min="2" max="2" width="10.88671875" customWidth="1"/>
    <col min="3" max="3" width="11.109375" customWidth="1"/>
    <col min="4" max="4" width="11.6640625" customWidth="1"/>
    <col min="5" max="5" width="10.5546875" customWidth="1"/>
    <col min="6" max="6" width="11.109375" customWidth="1"/>
    <col min="7" max="7" width="11.33203125" customWidth="1"/>
  </cols>
  <sheetData>
    <row r="1" spans="1:8" ht="17.399999999999999" x14ac:dyDescent="0.3">
      <c r="A1" s="102" t="s">
        <v>201</v>
      </c>
    </row>
    <row r="2" spans="1:8" ht="15.75" customHeight="1" x14ac:dyDescent="0.25">
      <c r="A2" s="103"/>
      <c r="B2" s="104"/>
      <c r="C2" s="104"/>
      <c r="D2" s="104"/>
      <c r="E2" s="104"/>
      <c r="F2" s="104"/>
      <c r="G2" s="104"/>
      <c r="H2" s="105"/>
    </row>
    <row r="3" spans="1:8" ht="15.75" customHeight="1" x14ac:dyDescent="0.4">
      <c r="A3" s="177" t="s">
        <v>202</v>
      </c>
      <c r="B3" s="143"/>
      <c r="C3" s="143"/>
      <c r="D3" s="143"/>
      <c r="E3" s="143"/>
      <c r="F3" s="143"/>
      <c r="G3" s="143"/>
      <c r="H3" s="106">
        <f>(H17+H30+H45+H57+H67+H79)/6</f>
        <v>4.6832154423375689</v>
      </c>
    </row>
    <row r="4" spans="1:8" ht="15.75" customHeight="1" x14ac:dyDescent="0.25">
      <c r="A4" s="103"/>
      <c r="B4" s="104"/>
      <c r="C4" s="104"/>
      <c r="D4" s="104"/>
      <c r="E4" s="104"/>
      <c r="F4" s="104"/>
      <c r="G4" s="104"/>
      <c r="H4" s="105"/>
    </row>
    <row r="5" spans="1:8" ht="15.75" customHeight="1" x14ac:dyDescent="0.25">
      <c r="A5" s="103"/>
      <c r="B5" s="104"/>
      <c r="C5" s="104"/>
      <c r="D5" s="104"/>
      <c r="E5" s="104"/>
      <c r="F5" s="104"/>
      <c r="G5" s="104"/>
      <c r="H5" s="105"/>
    </row>
    <row r="6" spans="1:8" ht="17.399999999999999" x14ac:dyDescent="0.3">
      <c r="A6" s="102" t="s">
        <v>203</v>
      </c>
      <c r="B6" s="104"/>
      <c r="C6" s="104"/>
      <c r="D6" s="104"/>
      <c r="E6" s="104"/>
      <c r="F6" s="104"/>
      <c r="G6" s="104"/>
      <c r="H6" s="105"/>
    </row>
    <row r="7" spans="1:8" ht="15.75" customHeight="1" x14ac:dyDescent="0.25">
      <c r="A7" s="107" t="s">
        <v>115</v>
      </c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 t="s">
        <v>204</v>
      </c>
      <c r="H7" s="109" t="s">
        <v>60</v>
      </c>
    </row>
    <row r="8" spans="1:8" ht="15.75" customHeight="1" x14ac:dyDescent="0.25">
      <c r="A8" s="110" t="s">
        <v>119</v>
      </c>
      <c r="B8" s="111">
        <f>COUNTIF(Data!$P$2:$P$500,1)</f>
        <v>0</v>
      </c>
      <c r="C8" s="111">
        <f>COUNTIF(Data!$P$2:$P$500,2)</f>
        <v>0</v>
      </c>
      <c r="D8" s="111">
        <f>COUNTIF(Data!$P$2:$P$500,3)</f>
        <v>0</v>
      </c>
      <c r="E8" s="111">
        <f>COUNTIF(Data!$P$2:$P$500,4)</f>
        <v>1</v>
      </c>
      <c r="F8" s="111">
        <f>COUNTIF(Data!$P$2:$P$500,5)</f>
        <v>27</v>
      </c>
      <c r="G8" s="111">
        <f>COUNTIF(Data!$P$2:$P$500,9)</f>
        <v>2</v>
      </c>
      <c r="H8" s="112">
        <f t="shared" ref="H8:H16" si="0">((B8*1)+(C8*2)+(D8*3)+(E8*4)+(F8*5))/SUM(B8:F8)</f>
        <v>4.9642857142857144</v>
      </c>
    </row>
    <row r="9" spans="1:8" ht="15.75" customHeight="1" x14ac:dyDescent="0.25">
      <c r="A9" s="110" t="s">
        <v>122</v>
      </c>
      <c r="B9" s="111">
        <f>COUNTIF(Data!$Q$2:$Q$500,1)</f>
        <v>1</v>
      </c>
      <c r="C9" s="111">
        <f>COUNTIF(Data!$Q$2:$Q$500,2)</f>
        <v>2</v>
      </c>
      <c r="D9" s="111">
        <f>COUNTIF(Data!$Q$2:$Q$500,3)</f>
        <v>1</v>
      </c>
      <c r="E9" s="111">
        <f>COUNTIF(Data!$Q$2:$Q$500,4)</f>
        <v>1</v>
      </c>
      <c r="F9" s="111">
        <f>COUNTIF(Data!$Q$2:$Q$500,5)</f>
        <v>13</v>
      </c>
      <c r="G9" s="111">
        <f>COUNTIF(Data!$Q$2:$Q$500,9)</f>
        <v>12</v>
      </c>
      <c r="H9" s="112">
        <f t="shared" si="0"/>
        <v>4.2777777777777777</v>
      </c>
    </row>
    <row r="10" spans="1:8" ht="15.75" customHeight="1" x14ac:dyDescent="0.25">
      <c r="A10" s="110" t="s">
        <v>123</v>
      </c>
      <c r="B10" s="111">
        <f>COUNTIF(Data!$R$2:$R$500,1)</f>
        <v>1</v>
      </c>
      <c r="C10" s="111">
        <f>COUNTIF(Data!$R$2:$R$500,2)</f>
        <v>0</v>
      </c>
      <c r="D10" s="111">
        <f>COUNTIF(Data!$R$2:$R$500,3)</f>
        <v>0</v>
      </c>
      <c r="E10" s="111">
        <f>COUNTIF(Data!$R$2:$R$500,4)</f>
        <v>1</v>
      </c>
      <c r="F10" s="111">
        <f>COUNTIF(Data!$R$2:$R$500,5)</f>
        <v>20</v>
      </c>
      <c r="G10" s="111">
        <f>COUNTIF(Data!$R$2:$R$500,9)</f>
        <v>8</v>
      </c>
      <c r="H10" s="112">
        <f t="shared" si="0"/>
        <v>4.7727272727272725</v>
      </c>
    </row>
    <row r="11" spans="1:8" ht="15.75" customHeight="1" x14ac:dyDescent="0.25">
      <c r="A11" s="110" t="s">
        <v>124</v>
      </c>
      <c r="B11" s="111">
        <f>COUNTIF(Data!$S$2:$S$500,1)</f>
        <v>1</v>
      </c>
      <c r="C11" s="111">
        <f>COUNTIF(Data!$S$2:$S$500,2)</f>
        <v>0</v>
      </c>
      <c r="D11" s="111">
        <f>COUNTIF(Data!$S$2:$S$500,3)</f>
        <v>0</v>
      </c>
      <c r="E11" s="111">
        <f>COUNTIF(Data!$S$2:$S$500,4)</f>
        <v>0</v>
      </c>
      <c r="F11" s="111">
        <f>COUNTIF(Data!$S$2:$S$500,5)</f>
        <v>27</v>
      </c>
      <c r="G11" s="111">
        <f>COUNTIF(Data!$S$2:$S$500,9)</f>
        <v>2</v>
      </c>
      <c r="H11" s="112">
        <f t="shared" si="0"/>
        <v>4.8571428571428568</v>
      </c>
    </row>
    <row r="12" spans="1:8" ht="15.75" customHeight="1" x14ac:dyDescent="0.25">
      <c r="A12" s="110" t="s">
        <v>127</v>
      </c>
      <c r="B12" s="111">
        <f>COUNTIF(Data!$T$2:$T$500,1)</f>
        <v>4</v>
      </c>
      <c r="C12" s="111">
        <f>COUNTIF(Data!$T$2:$T$500,2)</f>
        <v>1</v>
      </c>
      <c r="D12" s="111">
        <f>COUNTIF(Data!$T$2:$T$500,3)</f>
        <v>0</v>
      </c>
      <c r="E12" s="111">
        <f>COUNTIF(Data!$T$2:$T$500,4)</f>
        <v>5</v>
      </c>
      <c r="F12" s="111">
        <f>COUNTIF(Data!$T$2:$T$500,5)</f>
        <v>19</v>
      </c>
      <c r="G12" s="111">
        <f>COUNTIF(Data!$T$2:$T$500,9)</f>
        <v>1</v>
      </c>
      <c r="H12" s="112">
        <f t="shared" si="0"/>
        <v>4.1724137931034484</v>
      </c>
    </row>
    <row r="13" spans="1:8" ht="15.75" customHeight="1" x14ac:dyDescent="0.25">
      <c r="A13" s="110" t="s">
        <v>205</v>
      </c>
      <c r="B13" s="111">
        <f>COUNTIF(Data!$U$2:$U$500,1)</f>
        <v>2</v>
      </c>
      <c r="C13" s="111">
        <f>COUNTIF(Data!$U$2:$U$500,2)</f>
        <v>1</v>
      </c>
      <c r="D13" s="111">
        <f>COUNTIF(Data!$U$2:$U$500,3)</f>
        <v>0</v>
      </c>
      <c r="E13" s="111">
        <f>COUNTIF(Data!$U$2:$U$500,4)</f>
        <v>3</v>
      </c>
      <c r="F13" s="111">
        <f>COUNTIF(Data!$U$2:$U$500,5)</f>
        <v>20</v>
      </c>
      <c r="G13" s="111">
        <f>COUNTIF(Data!$U$2:$U$500,9)</f>
        <v>4</v>
      </c>
      <c r="H13" s="112">
        <f t="shared" si="0"/>
        <v>4.4615384615384617</v>
      </c>
    </row>
    <row r="14" spans="1:8" ht="15.75" customHeight="1" x14ac:dyDescent="0.25">
      <c r="A14" s="110" t="s">
        <v>130</v>
      </c>
      <c r="B14" s="111">
        <f>COUNTIF(Data!$V$2:$V$500,1)</f>
        <v>1</v>
      </c>
      <c r="C14" s="111">
        <f>COUNTIF(Data!$V$2:$V$500,2)</f>
        <v>0</v>
      </c>
      <c r="D14" s="111">
        <f>COUNTIF(Data!$V$2:$V$500,3)</f>
        <v>2</v>
      </c>
      <c r="E14" s="111">
        <f>COUNTIF(Data!$V$2:$V$500,4)</f>
        <v>4</v>
      </c>
      <c r="F14" s="111">
        <f>COUNTIF(Data!$V$2:$V$500,5)</f>
        <v>19</v>
      </c>
      <c r="G14" s="111">
        <f>COUNTIF(Data!$V$2:$V$500,9)</f>
        <v>4</v>
      </c>
      <c r="H14" s="112">
        <f t="shared" si="0"/>
        <v>4.5384615384615383</v>
      </c>
    </row>
    <row r="15" spans="1:8" ht="15.75" customHeight="1" x14ac:dyDescent="0.25">
      <c r="A15" s="113" t="s">
        <v>132</v>
      </c>
      <c r="B15" s="114">
        <f>COUNTIF(Data!$W$2:$W$500,1)</f>
        <v>1</v>
      </c>
      <c r="C15" s="114">
        <f>COUNTIF(Data!$W$2:$W$500,2)</f>
        <v>0</v>
      </c>
      <c r="D15" s="114">
        <f>COUNTIF(Data!$W$2:$W$500,3)</f>
        <v>1</v>
      </c>
      <c r="E15" s="114">
        <f>COUNTIF(Data!$W$2:$W$500,4)</f>
        <v>2</v>
      </c>
      <c r="F15" s="114">
        <f>COUNTIF(Data!$W$2:$W$500,5)</f>
        <v>24</v>
      </c>
      <c r="G15" s="114">
        <f>COUNTIF(Data!$W$2:$W$500,9)</f>
        <v>2</v>
      </c>
      <c r="H15" s="115">
        <f t="shared" si="0"/>
        <v>4.7142857142857144</v>
      </c>
    </row>
    <row r="16" spans="1:8" ht="15.75" customHeight="1" x14ac:dyDescent="0.25">
      <c r="A16" s="110" t="s">
        <v>206</v>
      </c>
      <c r="B16" s="111">
        <f>COUNTIF(Data!$X$2:$X$500,1)</f>
        <v>3</v>
      </c>
      <c r="C16" s="111">
        <f>COUNTIF(Data!$X$2:$X$500,2)</f>
        <v>3</v>
      </c>
      <c r="D16" s="111">
        <f>COUNTIF(Data!$X$2:$X$500,3)</f>
        <v>4</v>
      </c>
      <c r="E16" s="111">
        <f>COUNTIF(Data!$X$2:$X$500,4)</f>
        <v>2</v>
      </c>
      <c r="F16" s="111">
        <f>COUNTIF(Data!$X$2:$X$500,5)</f>
        <v>10</v>
      </c>
      <c r="G16" s="111">
        <f>COUNTIF(Data!$X$2:$X$500,9)</f>
        <v>8</v>
      </c>
      <c r="H16" s="112">
        <f t="shared" si="0"/>
        <v>3.5909090909090908</v>
      </c>
    </row>
    <row r="17" spans="1:8" ht="15.6" x14ac:dyDescent="0.3">
      <c r="A17" s="116" t="s">
        <v>136</v>
      </c>
      <c r="B17" s="81"/>
      <c r="C17" s="81"/>
      <c r="D17" s="81"/>
      <c r="E17" s="81"/>
      <c r="F17" s="81"/>
      <c r="G17" s="81"/>
      <c r="H17" s="81">
        <f>(H8+H9+H10+H11+H12+H13+H16+H14)/8</f>
        <v>4.45440706324327</v>
      </c>
    </row>
    <row r="18" spans="1:8" ht="15.75" customHeight="1" x14ac:dyDescent="0.25">
      <c r="A18" s="117"/>
    </row>
    <row r="19" spans="1:8" ht="15.75" customHeight="1" x14ac:dyDescent="0.25">
      <c r="A19" s="118" t="s">
        <v>207</v>
      </c>
      <c r="B19" s="119"/>
    </row>
    <row r="20" spans="1:8" ht="15.75" customHeight="1" x14ac:dyDescent="0.25">
      <c r="A20" s="118" t="s">
        <v>208</v>
      </c>
      <c r="B20" s="119"/>
    </row>
    <row r="21" spans="1:8" ht="15.75" customHeight="1" x14ac:dyDescent="0.25">
      <c r="A21" s="118" t="s">
        <v>209</v>
      </c>
      <c r="B21" s="119"/>
    </row>
    <row r="24" spans="1:8" ht="15.6" x14ac:dyDescent="0.3">
      <c r="A24" s="120" t="s">
        <v>210</v>
      </c>
      <c r="B24" s="104"/>
      <c r="C24" s="104"/>
      <c r="D24" s="104"/>
      <c r="E24" s="104"/>
      <c r="F24" s="104"/>
      <c r="G24" s="104"/>
      <c r="H24" s="105"/>
    </row>
    <row r="25" spans="1:8" ht="41.4" x14ac:dyDescent="0.25">
      <c r="A25" s="107" t="s">
        <v>115</v>
      </c>
      <c r="B25" s="108">
        <v>1</v>
      </c>
      <c r="C25" s="108">
        <v>2</v>
      </c>
      <c r="D25" s="108">
        <v>3</v>
      </c>
      <c r="E25" s="108">
        <v>4</v>
      </c>
      <c r="F25" s="108">
        <v>5</v>
      </c>
      <c r="G25" s="108" t="s">
        <v>204</v>
      </c>
      <c r="H25" s="109" t="s">
        <v>60</v>
      </c>
    </row>
    <row r="26" spans="1:8" ht="27.6" x14ac:dyDescent="0.25">
      <c r="A26" s="110" t="s">
        <v>139</v>
      </c>
      <c r="B26" s="111">
        <f>COUNTIF(Data!$Y$2:$Y$500,1)</f>
        <v>0</v>
      </c>
      <c r="C26" s="111">
        <f>COUNTIF(Data!$Y$2:$Y$500,2)</f>
        <v>0</v>
      </c>
      <c r="D26" s="111">
        <f>COUNTIF(Data!$Y$2:$Y$500,3)</f>
        <v>0</v>
      </c>
      <c r="E26" s="111">
        <f>COUNTIF(Data!$Y$2:$Y$500,4)</f>
        <v>6</v>
      </c>
      <c r="F26" s="111">
        <f>COUNTIF(Data!$Y$2:$Y$500,5)</f>
        <v>24</v>
      </c>
      <c r="G26" s="111">
        <f>COUNTIF(Data!$Y$2:$Y$500,9)</f>
        <v>0</v>
      </c>
      <c r="H26" s="112">
        <f t="shared" ref="H26:H29" si="1">((B26*1)+(C26*2)+(D26*3)+(E26*4)+(F26*5))/SUM(B26:F26)</f>
        <v>4.8</v>
      </c>
    </row>
    <row r="27" spans="1:8" ht="13.8" x14ac:dyDescent="0.25">
      <c r="A27" s="110" t="s">
        <v>140</v>
      </c>
      <c r="B27" s="111">
        <f>COUNTIF(Data!$Z$2:$Z$500,1)</f>
        <v>0</v>
      </c>
      <c r="C27" s="111">
        <f>COUNTIF(Data!$Z$2:$Z$500,2)</f>
        <v>1</v>
      </c>
      <c r="D27" s="111">
        <f>COUNTIF(Data!$Z$2:$Z$500,3)</f>
        <v>0</v>
      </c>
      <c r="E27" s="111">
        <f>COUNTIF(Data!$Z$2:$Z$500,4)</f>
        <v>4</v>
      </c>
      <c r="F27" s="111">
        <f>COUNTIF(Data!$Z$2:$Z$500,5)</f>
        <v>24</v>
      </c>
      <c r="G27" s="111">
        <f>COUNTIF(Data!$Z$2:$Z$500,9)</f>
        <v>1</v>
      </c>
      <c r="H27" s="112">
        <f t="shared" si="1"/>
        <v>4.7586206896551726</v>
      </c>
    </row>
    <row r="28" spans="1:8" ht="13.8" x14ac:dyDescent="0.25">
      <c r="A28" s="110" t="s">
        <v>141</v>
      </c>
      <c r="B28" s="111">
        <f>COUNTIF(Data!$AA$2:$AA$500,1)</f>
        <v>0</v>
      </c>
      <c r="C28" s="111">
        <f>COUNTIF(Data!$AA$2:$AA$500,2)</f>
        <v>0</v>
      </c>
      <c r="D28" s="111">
        <f>COUNTIF(Data!$AA$2:$AA$500,3)</f>
        <v>0</v>
      </c>
      <c r="E28" s="111">
        <f>COUNTIF(Data!$AA$2:$AA$500,4)</f>
        <v>4</v>
      </c>
      <c r="F28" s="111">
        <f>COUNTIF(Data!$AA$2:$AA$500,5)</f>
        <v>25</v>
      </c>
      <c r="G28" s="111">
        <f>COUNTIF(Data!$AA$2:$AA$500,9)</f>
        <v>1</v>
      </c>
      <c r="H28" s="112">
        <f t="shared" si="1"/>
        <v>4.8620689655172411</v>
      </c>
    </row>
    <row r="29" spans="1:8" ht="13.8" x14ac:dyDescent="0.25">
      <c r="A29" s="110" t="s">
        <v>142</v>
      </c>
      <c r="B29" s="111">
        <f>COUNTIF(Data!$AB$2:$AB$500,1)</f>
        <v>0</v>
      </c>
      <c r="C29" s="111">
        <f>COUNTIF(Data!$AB$2:$AB$500,2)</f>
        <v>0</v>
      </c>
      <c r="D29" s="111">
        <f>COUNTIF(Data!$AB$2:$AB$500,3)</f>
        <v>0</v>
      </c>
      <c r="E29" s="111">
        <f>COUNTIF(Data!$AB$2:$AB$500,4)</f>
        <v>3</v>
      </c>
      <c r="F29" s="111">
        <f>COUNTIF(Data!$AB$2:$AB$500,5)</f>
        <v>27</v>
      </c>
      <c r="G29" s="111">
        <f>COUNTIF(Data!$AB$2:$AB$500,9)</f>
        <v>0</v>
      </c>
      <c r="H29" s="112">
        <f t="shared" si="1"/>
        <v>4.9000000000000004</v>
      </c>
    </row>
    <row r="30" spans="1:8" ht="15.6" x14ac:dyDescent="0.3">
      <c r="A30" s="116" t="s">
        <v>136</v>
      </c>
      <c r="B30" s="81"/>
      <c r="C30" s="81"/>
      <c r="D30" s="81"/>
      <c r="E30" s="81"/>
      <c r="F30" s="81"/>
      <c r="G30" s="81"/>
      <c r="H30" s="81">
        <f>(H26+H27+H28+H29)/4</f>
        <v>4.8301724137931039</v>
      </c>
    </row>
    <row r="34" spans="1:8" ht="15.6" x14ac:dyDescent="0.3">
      <c r="A34" s="120" t="s">
        <v>211</v>
      </c>
      <c r="B34" s="104"/>
      <c r="C34" s="104"/>
      <c r="D34" s="104"/>
      <c r="E34" s="104"/>
      <c r="F34" s="104"/>
      <c r="G34" s="104"/>
      <c r="H34" s="105"/>
    </row>
    <row r="35" spans="1:8" ht="41.4" x14ac:dyDescent="0.25">
      <c r="A35" s="107" t="s">
        <v>115</v>
      </c>
      <c r="B35" s="108">
        <v>1</v>
      </c>
      <c r="C35" s="108">
        <v>2</v>
      </c>
      <c r="D35" s="108">
        <v>3</v>
      </c>
      <c r="E35" s="108">
        <v>4</v>
      </c>
      <c r="F35" s="108">
        <v>5</v>
      </c>
      <c r="G35" s="108" t="s">
        <v>204</v>
      </c>
      <c r="H35" s="109" t="s">
        <v>60</v>
      </c>
    </row>
    <row r="36" spans="1:8" ht="15" x14ac:dyDescent="0.25">
      <c r="A36" s="121" t="s">
        <v>144</v>
      </c>
      <c r="B36" s="111">
        <f>COUNTIF(Data!$AC$2:$AC$500,1)</f>
        <v>0</v>
      </c>
      <c r="C36" s="111">
        <f>COUNTIF(Data!$AC$2:$AC$500,2)</f>
        <v>0</v>
      </c>
      <c r="D36" s="111">
        <f>COUNTIF(Data!$AC$2:$AC$500,3)</f>
        <v>1</v>
      </c>
      <c r="E36" s="111">
        <f>COUNTIF(Data!$AC$2:$AC$500,4)</f>
        <v>4</v>
      </c>
      <c r="F36" s="111">
        <f>COUNTIF(Data!$AC$2:$AC$500,5)</f>
        <v>25</v>
      </c>
      <c r="G36" s="111">
        <f>COUNTIF(Data!$AC$2:$AC$500,9)</f>
        <v>0</v>
      </c>
      <c r="H36" s="112">
        <f>((B36*1)+(C36*2)+(D36*3)+(E36*4)+(F36*5))/SUM(B36:F36)</f>
        <v>4.8</v>
      </c>
    </row>
    <row r="37" spans="1:8" ht="15" x14ac:dyDescent="0.25">
      <c r="A37" s="121" t="s">
        <v>145</v>
      </c>
      <c r="B37" s="111"/>
      <c r="C37" s="111"/>
      <c r="D37" s="111"/>
      <c r="E37" s="111"/>
      <c r="F37" s="111"/>
      <c r="G37" s="111"/>
      <c r="H37" s="112"/>
    </row>
    <row r="38" spans="1:8" ht="13.8" x14ac:dyDescent="0.25">
      <c r="A38" s="110" t="s">
        <v>146</v>
      </c>
      <c r="B38" s="111">
        <f>COUNTIF(Data!$AD$2:$AD$500,1)</f>
        <v>0</v>
      </c>
      <c r="C38" s="111">
        <f>COUNTIF(Data!$AD$2:$AD$500,2)</f>
        <v>0</v>
      </c>
      <c r="D38" s="111">
        <f>COUNTIF(Data!$AD$2:$AD$500,3)</f>
        <v>0</v>
      </c>
      <c r="E38" s="111">
        <f>COUNTIF(Data!$AD$2:$AD$500,4)</f>
        <v>3</v>
      </c>
      <c r="F38" s="111">
        <f>COUNTIF(Data!$AD$2:$AD$500,5)</f>
        <v>27</v>
      </c>
      <c r="G38" s="111">
        <f>COUNTIF(Data!$AD$2:$AD$500,9)</f>
        <v>0</v>
      </c>
      <c r="H38" s="112">
        <f t="shared" ref="H38:H42" si="2">((B38*1)+(C38*2)+(D38*3)+(E38*4)+(F38*5))/SUM(B38:F38)</f>
        <v>4.9000000000000004</v>
      </c>
    </row>
    <row r="39" spans="1:8" ht="13.8" x14ac:dyDescent="0.25">
      <c r="A39" s="110" t="s">
        <v>147</v>
      </c>
      <c r="B39" s="111">
        <f>COUNTIF(Data!$AE$2:$AE$500,1)</f>
        <v>0</v>
      </c>
      <c r="C39" s="111">
        <f>COUNTIF(Data!$AE$2:$AE$500,2)</f>
        <v>0</v>
      </c>
      <c r="D39" s="111">
        <f>COUNTIF(Data!$AE$2:$AE$500,3)</f>
        <v>0</v>
      </c>
      <c r="E39" s="111">
        <f>COUNTIF(Data!$AE$2:$AE$500,4)</f>
        <v>3</v>
      </c>
      <c r="F39" s="111">
        <f>COUNTIF(Data!$AE$2:$AE$500,5)</f>
        <v>26</v>
      </c>
      <c r="G39" s="111">
        <f>COUNTIF(Data!$AE$2:$AE$500,9)</f>
        <v>1</v>
      </c>
      <c r="H39" s="112">
        <f t="shared" si="2"/>
        <v>4.8965517241379306</v>
      </c>
    </row>
    <row r="40" spans="1:8" ht="13.8" x14ac:dyDescent="0.25">
      <c r="A40" s="110" t="s">
        <v>148</v>
      </c>
      <c r="B40" s="111">
        <f>COUNTIF(Data!$AF$2:$AF$500,1)</f>
        <v>0</v>
      </c>
      <c r="C40" s="111">
        <f>COUNTIF(Data!$AF$2:$AF$500,2)</f>
        <v>0</v>
      </c>
      <c r="D40" s="111">
        <f>COUNTIF(Data!$AF$2:$AF$500,3)</f>
        <v>1</v>
      </c>
      <c r="E40" s="111">
        <f>COUNTIF(Data!$AF$2:$AF$500,4)</f>
        <v>3</v>
      </c>
      <c r="F40" s="111">
        <f>COUNTIF(Data!$AF$2:$AF$500,5)</f>
        <v>25</v>
      </c>
      <c r="G40" s="111">
        <f>COUNTIF(Data!$AF$2:$AF$500,9)</f>
        <v>1</v>
      </c>
      <c r="H40" s="112">
        <f t="shared" si="2"/>
        <v>4.8275862068965516</v>
      </c>
    </row>
    <row r="41" spans="1:8" ht="13.8" x14ac:dyDescent="0.25">
      <c r="A41" s="110" t="s">
        <v>149</v>
      </c>
      <c r="B41" s="111">
        <f>COUNTIF(Data!$AG$2:$AG$500,1)</f>
        <v>0</v>
      </c>
      <c r="C41" s="111">
        <f>COUNTIF(Data!$AG$2:$AG$500,2)</f>
        <v>0</v>
      </c>
      <c r="D41" s="111">
        <f>COUNTIF(Data!$AG$2:$AG$500,3)</f>
        <v>0</v>
      </c>
      <c r="E41" s="111">
        <f>COUNTIF(Data!$AG$2:$AG$500,4)</f>
        <v>7</v>
      </c>
      <c r="F41" s="111">
        <f>COUNTIF(Data!$AG$2:$AG$500,5)</f>
        <v>22</v>
      </c>
      <c r="G41" s="111">
        <f>COUNTIF(Data!$AG$2:$AG$500,9)</f>
        <v>1</v>
      </c>
      <c r="H41" s="112">
        <f t="shared" si="2"/>
        <v>4.7586206896551726</v>
      </c>
    </row>
    <row r="42" spans="1:8" ht="13.8" x14ac:dyDescent="0.25">
      <c r="A42" s="110" t="s">
        <v>150</v>
      </c>
      <c r="B42" s="111">
        <f>COUNTIF(Data!$AH$2:$AH$500,1)</f>
        <v>1</v>
      </c>
      <c r="C42" s="111">
        <f>COUNTIF(Data!$AH$2:$AH$500,2)</f>
        <v>0</v>
      </c>
      <c r="D42" s="111">
        <f>COUNTIF(Data!$AH$2:$AH$500,3)</f>
        <v>0</v>
      </c>
      <c r="E42" s="111">
        <f>COUNTIF(Data!$AH$2:$AH$500,4)</f>
        <v>4</v>
      </c>
      <c r="F42" s="111">
        <f>COUNTIF(Data!$AH$2:$AH$500,5)</f>
        <v>22</v>
      </c>
      <c r="G42" s="111">
        <f>COUNTIF(Data!$AH$2:$AH$500,9)</f>
        <v>3</v>
      </c>
      <c r="H42" s="112">
        <f t="shared" si="2"/>
        <v>4.7037037037037033</v>
      </c>
    </row>
    <row r="43" spans="1:8" ht="13.8" x14ac:dyDescent="0.25">
      <c r="A43" s="153" t="s">
        <v>151</v>
      </c>
      <c r="B43" s="135"/>
      <c r="C43" s="136"/>
      <c r="D43" s="109" t="s">
        <v>212</v>
      </c>
      <c r="E43" s="111">
        <f>COUNTIF(Data!$AI$2:$AI$500,"Так")</f>
        <v>13</v>
      </c>
      <c r="F43" s="109" t="s">
        <v>213</v>
      </c>
      <c r="G43" s="111">
        <f>COUNTIF(Data!$AI$2:$AI$500,"Ні")</f>
        <v>17</v>
      </c>
      <c r="H43" s="112"/>
    </row>
    <row r="44" spans="1:8" ht="13.8" x14ac:dyDescent="0.25">
      <c r="A44" s="110" t="s">
        <v>153</v>
      </c>
      <c r="B44" s="111">
        <f>COUNTIF(Data!$AJ$2:$AJ$500,1)</f>
        <v>3</v>
      </c>
      <c r="C44" s="111">
        <f>COUNTIF(Data!$AJ$2:$AJ$500,2)</f>
        <v>0</v>
      </c>
      <c r="D44" s="111">
        <f>COUNTIF(Data!$AJ$2:$AJ$500,3)</f>
        <v>0</v>
      </c>
      <c r="E44" s="111">
        <f>COUNTIF(Data!$AJ$2:$AJ$500,4)</f>
        <v>2</v>
      </c>
      <c r="F44" s="111">
        <f>COUNTIF(Data!$AJ$2:$AJ$500,5)</f>
        <v>11</v>
      </c>
      <c r="G44" s="111">
        <f>COUNTIF(Data!$AJ$2:$AJ$500,9)</f>
        <v>14</v>
      </c>
      <c r="H44" s="112">
        <f>((B44*1)+(C44*2)+(D44*3)+(E44*4)+(F44*5))/SUM(B44:F44)</f>
        <v>4.125</v>
      </c>
    </row>
    <row r="45" spans="1:8" ht="15.6" x14ac:dyDescent="0.3">
      <c r="A45" s="116" t="s">
        <v>136</v>
      </c>
      <c r="B45" s="81"/>
      <c r="C45" s="81"/>
      <c r="D45" s="81"/>
      <c r="E45" s="81"/>
      <c r="F45" s="81"/>
      <c r="G45" s="81"/>
      <c r="H45" s="81">
        <f>(H36+H38+H39+H40+H41+H42+H43+H44)/7</f>
        <v>4.7159231891990512</v>
      </c>
    </row>
    <row r="49" spans="1:8" ht="15.6" x14ac:dyDescent="0.3">
      <c r="A49" s="120" t="s">
        <v>214</v>
      </c>
      <c r="B49" s="104"/>
      <c r="C49" s="104"/>
      <c r="D49" s="104"/>
      <c r="E49" s="104"/>
      <c r="F49" s="104"/>
      <c r="G49" s="104"/>
      <c r="H49" s="105"/>
    </row>
    <row r="50" spans="1:8" ht="41.4" x14ac:dyDescent="0.25">
      <c r="A50" s="107" t="s">
        <v>115</v>
      </c>
      <c r="B50" s="108">
        <v>1</v>
      </c>
      <c r="C50" s="109">
        <v>2</v>
      </c>
      <c r="D50" s="108">
        <v>3</v>
      </c>
      <c r="E50" s="108">
        <v>4</v>
      </c>
      <c r="F50" s="108">
        <v>5</v>
      </c>
      <c r="G50" s="108" t="s">
        <v>204</v>
      </c>
      <c r="H50" s="109" t="s">
        <v>60</v>
      </c>
    </row>
    <row r="51" spans="1:8" ht="15" x14ac:dyDescent="0.25">
      <c r="A51" s="53" t="s">
        <v>155</v>
      </c>
      <c r="B51" s="111">
        <f>COUNTIF(Data!$AK$2:$AK$500,1)</f>
        <v>1</v>
      </c>
      <c r="C51" s="111">
        <f>COUNTIF(Data!$AK$2:$AK$500,2)</f>
        <v>0</v>
      </c>
      <c r="D51" s="111">
        <f>COUNTIF(Data!$AK$2:$AK$500,3)</f>
        <v>2</v>
      </c>
      <c r="E51" s="111">
        <f>COUNTIF(Data!$AK$2:$AK$500,4)</f>
        <v>3</v>
      </c>
      <c r="F51" s="111">
        <f>COUNTIF(Data!$AK$2:$AK$500,5)</f>
        <v>22</v>
      </c>
      <c r="G51" s="111">
        <f>COUNTIF(Data!$AK$2:$AK$500,9)</f>
        <v>2</v>
      </c>
      <c r="H51" s="112">
        <f>((B51*1)+(C51*2)+(D51*3)+(E51*4)+(F51*5))/SUM(B51:F51)</f>
        <v>4.6071428571428568</v>
      </c>
    </row>
    <row r="52" spans="1:8" ht="45" x14ac:dyDescent="0.25">
      <c r="A52" s="53" t="s">
        <v>156</v>
      </c>
      <c r="B52" s="111">
        <f>COUNTIF(Data!$AL$2:$AL$500,1)</f>
        <v>20</v>
      </c>
      <c r="C52" s="111">
        <f>COUNTIF(Data!$AL$2:$AL$500,2)</f>
        <v>2</v>
      </c>
      <c r="D52" s="111">
        <f>COUNTIF(Data!$AL$2:$AL$500,3)</f>
        <v>3</v>
      </c>
      <c r="E52" s="111">
        <f>COUNTIF(Data!$AL$2:$AL$500,4)</f>
        <v>0</v>
      </c>
      <c r="F52" s="111">
        <f>COUNTIF(Data!$AL$2:$AL$500,5)</f>
        <v>0</v>
      </c>
      <c r="G52" s="111">
        <f>COUNTIF(Data!$AL$2:$AL$500,9)</f>
        <v>5</v>
      </c>
      <c r="H52" s="112">
        <f>((B52*5)+(C52*4)+(D52*3)+(E52*2)+(F52*1))/SUM(B52:F52)</f>
        <v>4.68</v>
      </c>
    </row>
    <row r="53" spans="1:8" ht="14.4" x14ac:dyDescent="0.25">
      <c r="A53" s="122" t="s">
        <v>157</v>
      </c>
      <c r="B53" s="111"/>
      <c r="C53" s="111"/>
      <c r="D53" s="111"/>
      <c r="E53" s="111"/>
      <c r="F53" s="111"/>
      <c r="G53" s="111"/>
      <c r="H53" s="112"/>
    </row>
    <row r="54" spans="1:8" ht="13.8" x14ac:dyDescent="0.25">
      <c r="A54" s="110" t="s">
        <v>158</v>
      </c>
      <c r="B54" s="111">
        <f>COUNTIF(Data!$AM$2:$AM$500,1)</f>
        <v>0</v>
      </c>
      <c r="C54" s="111">
        <f>COUNTIF(Data!$AM$2:$AM$500,2)</f>
        <v>0</v>
      </c>
      <c r="D54" s="111">
        <f>COUNTIF(Data!$AM$2:$AM$500,3)</f>
        <v>1</v>
      </c>
      <c r="E54" s="111">
        <f>COUNTIF(Data!$AM$2:$AM$500,4)</f>
        <v>1</v>
      </c>
      <c r="F54" s="111">
        <f>COUNTIF(Data!$AM$2:$AM$500,5)</f>
        <v>25</v>
      </c>
      <c r="G54" s="111">
        <f>COUNTIF(Data!$AM$2:$AM$500,9)</f>
        <v>3</v>
      </c>
      <c r="H54" s="112">
        <f t="shared" ref="H54:H56" si="3">((B54*1)+(C54*2)+(D54*3)+(E54*4)+(F54*5))/SUM(B54:F54)</f>
        <v>4.8888888888888893</v>
      </c>
    </row>
    <row r="55" spans="1:8" ht="13.8" x14ac:dyDescent="0.25">
      <c r="A55" s="110" t="s">
        <v>159</v>
      </c>
      <c r="B55" s="111">
        <f>COUNTIF(Data!$AN$2:$AN$500,1)</f>
        <v>0</v>
      </c>
      <c r="C55" s="111">
        <f>COUNTIF(Data!$AN$2:$AN$500,2)</f>
        <v>0</v>
      </c>
      <c r="D55" s="111">
        <f>COUNTIF(Data!$AN$2:$AN$500,3)</f>
        <v>1</v>
      </c>
      <c r="E55" s="111">
        <f>COUNTIF(Data!$AN$2:$AN$500,4)</f>
        <v>2</v>
      </c>
      <c r="F55" s="111">
        <f>COUNTIF(Data!$AN$2:$AN$500,5)</f>
        <v>24</v>
      </c>
      <c r="G55" s="111">
        <f>COUNTIF(Data!$AN$2:$AN$500,9)</f>
        <v>3</v>
      </c>
      <c r="H55" s="112">
        <f t="shared" si="3"/>
        <v>4.8518518518518521</v>
      </c>
    </row>
    <row r="56" spans="1:8" ht="13.8" x14ac:dyDescent="0.25">
      <c r="A56" s="110" t="s">
        <v>160</v>
      </c>
      <c r="B56" s="111">
        <f>COUNTIF(Data!$AO$2:$AO$500,1)</f>
        <v>0</v>
      </c>
      <c r="C56" s="111">
        <f>COUNTIF(Data!$AO$2:$AO$500,2)</f>
        <v>0</v>
      </c>
      <c r="D56" s="111">
        <f>COUNTIF(Data!$AO$2:$AO$500,3)</f>
        <v>0</v>
      </c>
      <c r="E56" s="111">
        <f>COUNTIF(Data!$AO$2:$AO$500,4)</f>
        <v>4</v>
      </c>
      <c r="F56" s="111">
        <f>COUNTIF(Data!$AO$2:$AO$500,5)</f>
        <v>24</v>
      </c>
      <c r="G56" s="111">
        <f>COUNTIF(Data!$AO$2:$AO$500,9)</f>
        <v>2</v>
      </c>
      <c r="H56" s="112">
        <f t="shared" si="3"/>
        <v>4.8571428571428568</v>
      </c>
    </row>
    <row r="57" spans="1:8" ht="15.6" x14ac:dyDescent="0.3">
      <c r="A57" s="116" t="s">
        <v>136</v>
      </c>
      <c r="B57" s="81"/>
      <c r="C57" s="81"/>
      <c r="D57" s="81"/>
      <c r="E57" s="81"/>
      <c r="F57" s="81"/>
      <c r="G57" s="81"/>
      <c r="H57" s="81">
        <f>(H51+H52+H54+H55+H56)/5</f>
        <v>4.7770052910052909</v>
      </c>
    </row>
    <row r="61" spans="1:8" ht="15.6" x14ac:dyDescent="0.3">
      <c r="A61" s="120" t="s">
        <v>215</v>
      </c>
      <c r="B61" s="104"/>
      <c r="C61" s="104"/>
      <c r="D61" s="104"/>
      <c r="E61" s="104"/>
      <c r="F61" s="104"/>
      <c r="G61" s="104"/>
      <c r="H61" s="105"/>
    </row>
    <row r="62" spans="1:8" ht="41.4" x14ac:dyDescent="0.25">
      <c r="A62" s="107" t="s">
        <v>115</v>
      </c>
      <c r="B62" s="108">
        <v>1</v>
      </c>
      <c r="C62" s="108">
        <v>2</v>
      </c>
      <c r="D62" s="108">
        <v>3</v>
      </c>
      <c r="E62" s="108">
        <v>4</v>
      </c>
      <c r="F62" s="108">
        <v>5</v>
      </c>
      <c r="G62" s="108" t="s">
        <v>204</v>
      </c>
      <c r="H62" s="109" t="s">
        <v>60</v>
      </c>
    </row>
    <row r="63" spans="1:8" ht="30" x14ac:dyDescent="0.25">
      <c r="A63" s="53" t="s">
        <v>162</v>
      </c>
      <c r="B63" s="111">
        <f>COUNTIF(Data!$AP$2:$AP$500,1)</f>
        <v>0</v>
      </c>
      <c r="C63" s="111">
        <f>COUNTIF(Data!$AP$2:$AP$500,2)</f>
        <v>0</v>
      </c>
      <c r="D63" s="111">
        <f>COUNTIF(Data!$AP$2:$AP$500,3)</f>
        <v>0</v>
      </c>
      <c r="E63" s="111">
        <f>COUNTIF(Data!$AP$2:$AP$500,4)</f>
        <v>8</v>
      </c>
      <c r="F63" s="111">
        <f>COUNTIF(Data!$AP$2:$AP$500,5)</f>
        <v>20</v>
      </c>
      <c r="G63" s="111">
        <f>COUNTIF(Data!$AP$2:$AP$500,9)</f>
        <v>2</v>
      </c>
      <c r="H63" s="112">
        <f t="shared" ref="H63:H66" si="4">((B63*1)+(C63*2)+(D63*3)+(E63*4)+(F63*5))/SUM(B63:F63)</f>
        <v>4.7142857142857144</v>
      </c>
    </row>
    <row r="64" spans="1:8" ht="30" x14ac:dyDescent="0.25">
      <c r="A64" s="53" t="s">
        <v>163</v>
      </c>
      <c r="B64" s="111">
        <f>COUNTIF(Data!$AQ$2:$AQ$500,1)</f>
        <v>0</v>
      </c>
      <c r="C64" s="111">
        <f>COUNTIF(Data!$AQ$2:$AQ$500,2)</f>
        <v>0</v>
      </c>
      <c r="D64" s="111">
        <f>COUNTIF(Data!$AQ$2:$AQ$500,3)</f>
        <v>2</v>
      </c>
      <c r="E64" s="111">
        <f>COUNTIF(Data!$AQ$2:$AQ$500,4)</f>
        <v>4</v>
      </c>
      <c r="F64" s="111">
        <f>COUNTIF(Data!$AQ$2:$AQ$500,5)</f>
        <v>22</v>
      </c>
      <c r="G64" s="111">
        <f>COUNTIF(Data!$AQ$2:$AQ$500,9)</f>
        <v>2</v>
      </c>
      <c r="H64" s="112">
        <f t="shared" si="4"/>
        <v>4.7142857142857144</v>
      </c>
    </row>
    <row r="65" spans="1:8" ht="30" x14ac:dyDescent="0.25">
      <c r="A65" s="53" t="s">
        <v>164</v>
      </c>
      <c r="B65" s="111">
        <f>COUNTIF(Data!$AR$2:$AR$500,1)</f>
        <v>3</v>
      </c>
      <c r="C65" s="111">
        <f>COUNTIF(Data!$AR$2:$AR$500,2)</f>
        <v>0</v>
      </c>
      <c r="D65" s="111">
        <f>COUNTIF(Data!$AR$2:$AR$500,3)</f>
        <v>0</v>
      </c>
      <c r="E65" s="111">
        <f>COUNTIF(Data!$AR$2:$AR$500,4)</f>
        <v>2</v>
      </c>
      <c r="F65" s="111">
        <f>COUNTIF(Data!$AR$2:$AR$500,5)</f>
        <v>23</v>
      </c>
      <c r="G65" s="111">
        <f>COUNTIF(Data!$AR$2:$AR$500,9)</f>
        <v>2</v>
      </c>
      <c r="H65" s="112">
        <f t="shared" si="4"/>
        <v>4.5</v>
      </c>
    </row>
    <row r="66" spans="1:8" ht="30" x14ac:dyDescent="0.25">
      <c r="A66" s="53" t="s">
        <v>165</v>
      </c>
      <c r="B66" s="111">
        <f>COUNTIF(Data!$AS$2:$AS$500,1)</f>
        <v>1</v>
      </c>
      <c r="C66" s="111">
        <f>COUNTIF(Data!$AS$2:$AS$500,2)</f>
        <v>2</v>
      </c>
      <c r="D66" s="111">
        <f>COUNTIF(Data!$AS$2:$AS$500,3)</f>
        <v>0</v>
      </c>
      <c r="E66" s="111">
        <f>COUNTIF(Data!$AS$2:$AS$500,4)</f>
        <v>5</v>
      </c>
      <c r="F66" s="111">
        <f>COUNTIF(Data!$AS$2:$AS$500,5)</f>
        <v>19</v>
      </c>
      <c r="G66" s="111">
        <f>COUNTIF(Data!$AS$2:$AS$500,9)</f>
        <v>3</v>
      </c>
      <c r="H66" s="112">
        <f t="shared" si="4"/>
        <v>4.4444444444444446</v>
      </c>
    </row>
    <row r="67" spans="1:8" ht="15.6" x14ac:dyDescent="0.3">
      <c r="A67" s="116" t="s">
        <v>136</v>
      </c>
      <c r="B67" s="81"/>
      <c r="C67" s="81"/>
      <c r="D67" s="81"/>
      <c r="E67" s="81"/>
      <c r="F67" s="81"/>
      <c r="G67" s="81"/>
      <c r="H67" s="81">
        <f>(H63+H65+H66+H66)/4</f>
        <v>4.5257936507936511</v>
      </c>
    </row>
    <row r="71" spans="1:8" ht="15.6" x14ac:dyDescent="0.3">
      <c r="A71" s="120" t="s">
        <v>216</v>
      </c>
      <c r="B71" s="104"/>
      <c r="C71" s="104"/>
      <c r="D71" s="104"/>
      <c r="E71" s="104"/>
      <c r="F71" s="104"/>
      <c r="G71" s="104"/>
      <c r="H71" s="105"/>
    </row>
    <row r="72" spans="1:8" ht="41.4" x14ac:dyDescent="0.25">
      <c r="A72" s="107" t="s">
        <v>115</v>
      </c>
      <c r="B72" s="108">
        <v>1</v>
      </c>
      <c r="C72" s="108">
        <v>2</v>
      </c>
      <c r="D72" s="108">
        <v>3</v>
      </c>
      <c r="E72" s="108">
        <v>4</v>
      </c>
      <c r="F72" s="108">
        <v>5</v>
      </c>
      <c r="G72" s="108" t="s">
        <v>204</v>
      </c>
      <c r="H72" s="109" t="s">
        <v>60</v>
      </c>
    </row>
    <row r="73" spans="1:8" ht="31.2" x14ac:dyDescent="0.3">
      <c r="A73" s="123" t="s">
        <v>217</v>
      </c>
      <c r="B73" s="111"/>
      <c r="C73" s="111"/>
      <c r="D73" s="111"/>
      <c r="E73" s="111"/>
      <c r="F73" s="111"/>
      <c r="G73" s="111"/>
      <c r="H73" s="112"/>
    </row>
    <row r="74" spans="1:8" ht="30" x14ac:dyDescent="0.25">
      <c r="A74" s="53" t="s">
        <v>167</v>
      </c>
      <c r="B74" s="111">
        <f>COUNTIF(Data!$AT$2:$AT$500,1)</f>
        <v>3</v>
      </c>
      <c r="C74" s="111">
        <f>COUNTIF(Data!$AT$2:$AT$500,2)</f>
        <v>0</v>
      </c>
      <c r="D74" s="111">
        <f>COUNTIF(Data!$AT$2:$AT$500,3)</f>
        <v>0</v>
      </c>
      <c r="E74" s="111">
        <f>COUNTIF(Data!$AT$2:$AT$500,4)</f>
        <v>3</v>
      </c>
      <c r="F74" s="111">
        <f>COUNTIF(Data!$AT$2:$AT$500,5)</f>
        <v>20</v>
      </c>
      <c r="G74" s="111">
        <f>COUNTIF(Data!$AT$2:$AT$500,9)</f>
        <v>4</v>
      </c>
      <c r="H74" s="112">
        <f t="shared" ref="H74:H78" si="5">((B74*1)+(C74*2)+(D74*3)+(E74*4)+(F74*5))/SUM(B74:F74)</f>
        <v>4.4230769230769234</v>
      </c>
    </row>
    <row r="75" spans="1:8" ht="15" x14ac:dyDescent="0.25">
      <c r="A75" s="53" t="s">
        <v>168</v>
      </c>
      <c r="B75" s="111">
        <f>COUNTIF(Data!$AU$2:$AU$500,1)</f>
        <v>0</v>
      </c>
      <c r="C75" s="111">
        <f>COUNTIF(Data!$AU$2:$AU$500,2)</f>
        <v>0</v>
      </c>
      <c r="D75" s="111">
        <f>COUNTIF(Data!$AU$2:$AU$500,3)</f>
        <v>0</v>
      </c>
      <c r="E75" s="111">
        <f>COUNTIF(Data!$AU$2:$AU$500,4)</f>
        <v>1</v>
      </c>
      <c r="F75" s="111">
        <f>COUNTIF(Data!$AU$2:$AU$500,5)</f>
        <v>27</v>
      </c>
      <c r="G75" s="111">
        <f>COUNTIF(Data!$AU$2:$AU$500,9)</f>
        <v>2</v>
      </c>
      <c r="H75" s="112">
        <f t="shared" si="5"/>
        <v>4.9642857142857144</v>
      </c>
    </row>
    <row r="76" spans="1:8" ht="15" x14ac:dyDescent="0.25">
      <c r="A76" s="53" t="s">
        <v>169</v>
      </c>
      <c r="B76" s="111">
        <f>COUNTIF(Data!$AV$2:$AV$500,1)</f>
        <v>0</v>
      </c>
      <c r="C76" s="111">
        <f>COUNTIF(Data!$AV$2:$AV$500,2)</f>
        <v>0</v>
      </c>
      <c r="D76" s="111">
        <f>COUNTIF(Data!$AV$2:$AV$500,3)</f>
        <v>0</v>
      </c>
      <c r="E76" s="111">
        <f>COUNTIF(Data!$AV$2:$AV$500,4)</f>
        <v>1</v>
      </c>
      <c r="F76" s="111">
        <f>COUNTIF(Data!$AV$2:$AV$500,5)</f>
        <v>26</v>
      </c>
      <c r="G76" s="111">
        <f>COUNTIF(Data!$AV$2:$AV$500,9)</f>
        <v>3</v>
      </c>
      <c r="H76" s="112">
        <f t="shared" si="5"/>
        <v>4.9629629629629628</v>
      </c>
    </row>
    <row r="77" spans="1:8" ht="15" x14ac:dyDescent="0.25">
      <c r="A77" s="53" t="s">
        <v>170</v>
      </c>
      <c r="B77" s="111">
        <f>COUNTIF(Data!$AW$2:$AW$500,1)</f>
        <v>1</v>
      </c>
      <c r="C77" s="111">
        <f>COUNTIF(Data!$AW$2:$AW$500,2)</f>
        <v>0</v>
      </c>
      <c r="D77" s="111">
        <f>COUNTIF(Data!$AW$2:$AW$500,3)</f>
        <v>0</v>
      </c>
      <c r="E77" s="111">
        <f>COUNTIF(Data!$AW$2:$AW$500,4)</f>
        <v>3</v>
      </c>
      <c r="F77" s="111">
        <f>COUNTIF(Data!$AW$2:$AW$500,5)</f>
        <v>23</v>
      </c>
      <c r="G77" s="111">
        <f>COUNTIF(Data!$AW$2:$AW$500,9)</f>
        <v>3</v>
      </c>
      <c r="H77" s="112">
        <f t="shared" si="5"/>
        <v>4.7407407407407405</v>
      </c>
    </row>
    <row r="78" spans="1:8" ht="15" x14ac:dyDescent="0.25">
      <c r="A78" s="53" t="s">
        <v>171</v>
      </c>
      <c r="B78" s="111">
        <f>COUNTIF(Data!$AX$2:$AX$500,1)</f>
        <v>0</v>
      </c>
      <c r="C78" s="111">
        <f>COUNTIF(Data!$AX$2:$AX$500,2)</f>
        <v>0</v>
      </c>
      <c r="D78" s="111">
        <f>COUNTIF(Data!$AX$2:$AX$500,3)</f>
        <v>1</v>
      </c>
      <c r="E78" s="111">
        <f>COUNTIF(Data!$AX$2:$AX$500,4)</f>
        <v>1</v>
      </c>
      <c r="F78" s="111">
        <f>COUNTIF(Data!$AX$2:$AX$500,5)</f>
        <v>25</v>
      </c>
      <c r="G78" s="111">
        <f>COUNTIF(Data!$AX$2:$AX$500,9)</f>
        <v>3</v>
      </c>
      <c r="H78" s="112">
        <f t="shared" si="5"/>
        <v>4.8888888888888893</v>
      </c>
    </row>
    <row r="79" spans="1:8" ht="15.6" x14ac:dyDescent="0.3">
      <c r="A79" s="116" t="s">
        <v>136</v>
      </c>
      <c r="B79" s="81"/>
      <c r="C79" s="81"/>
      <c r="D79" s="81"/>
      <c r="E79" s="81"/>
      <c r="F79" s="81"/>
      <c r="G79" s="81"/>
      <c r="H79" s="81">
        <f>(H74+H75+H76+H77+H78)/5</f>
        <v>4.7959910459910464</v>
      </c>
    </row>
    <row r="83" spans="1:8" ht="15.6" x14ac:dyDescent="0.3">
      <c r="A83" s="120" t="s">
        <v>218</v>
      </c>
      <c r="B83" s="104"/>
      <c r="C83" s="104"/>
      <c r="D83" s="104"/>
      <c r="E83" s="104"/>
      <c r="F83" s="104"/>
      <c r="G83" s="104"/>
      <c r="H83" s="105"/>
    </row>
    <row r="84" spans="1:8" ht="13.8" x14ac:dyDescent="0.25">
      <c r="A84" s="107" t="s">
        <v>115</v>
      </c>
      <c r="B84" s="108">
        <v>1</v>
      </c>
      <c r="C84" s="108">
        <v>2</v>
      </c>
      <c r="D84" s="108" t="s">
        <v>204</v>
      </c>
    </row>
    <row r="85" spans="1:8" ht="15" x14ac:dyDescent="0.25">
      <c r="A85" s="53" t="s">
        <v>219</v>
      </c>
      <c r="B85" s="111">
        <f>COUNTIF(Data!$AY$2:$AY$500,1)</f>
        <v>15</v>
      </c>
      <c r="C85" s="111">
        <f>COUNTIF(Data!$AY$2:$AY$500,2)</f>
        <v>5</v>
      </c>
      <c r="D85" s="111">
        <f>COUNTIF(Data!$AY$2:$AY$500,9)</f>
        <v>10</v>
      </c>
      <c r="H85" s="56"/>
    </row>
    <row r="86" spans="1:8" ht="15" x14ac:dyDescent="0.25">
      <c r="A86" s="53" t="s">
        <v>220</v>
      </c>
      <c r="B86" s="111">
        <f>COUNTIF(Data!$AZ$2:$AZ$500,1)</f>
        <v>3</v>
      </c>
      <c r="C86" s="111">
        <f>COUNTIF(Data!$AZ$2:$AZ$500,2)</f>
        <v>17</v>
      </c>
      <c r="D86" s="111">
        <f>COUNTIF(Data!$AZ$2:$AZ$500,9)</f>
        <v>10</v>
      </c>
      <c r="H86" s="56"/>
    </row>
    <row r="87" spans="1:8" ht="15" x14ac:dyDescent="0.25">
      <c r="A87" s="53" t="s">
        <v>221</v>
      </c>
      <c r="B87" s="111">
        <f>COUNTIF(Data!$BA$2:$BA$500,1)</f>
        <v>21</v>
      </c>
      <c r="C87" s="111">
        <f>COUNTIF(Data!$BA$2:$BA$500,2)</f>
        <v>1</v>
      </c>
      <c r="D87" s="111">
        <f>COUNTIF(Data!$BA$2:$BA$500,9)</f>
        <v>8</v>
      </c>
      <c r="H87" s="56"/>
    </row>
    <row r="88" spans="1:8" ht="15" x14ac:dyDescent="0.25">
      <c r="A88" s="53" t="s">
        <v>222</v>
      </c>
      <c r="B88" s="111">
        <f>COUNTIF(Data!$BB$2:$BB$500,1)</f>
        <v>15</v>
      </c>
      <c r="C88" s="111">
        <f>COUNTIF(Data!$BB$2:$BB$500,2)</f>
        <v>5</v>
      </c>
      <c r="D88" s="111">
        <f>COUNTIF(Data!$BB$2:$BB$500,9)</f>
        <v>9</v>
      </c>
      <c r="H88" s="56"/>
    </row>
    <row r="90" spans="1:8" ht="41.4" x14ac:dyDescent="0.25">
      <c r="A90" s="107" t="s">
        <v>115</v>
      </c>
      <c r="B90" s="108">
        <v>1</v>
      </c>
      <c r="C90" s="108">
        <v>2</v>
      </c>
      <c r="D90" s="108">
        <v>3</v>
      </c>
      <c r="E90" s="108">
        <v>4</v>
      </c>
      <c r="F90" s="108">
        <v>5</v>
      </c>
      <c r="G90" s="108" t="s">
        <v>204</v>
      </c>
      <c r="H90" s="109" t="s">
        <v>60</v>
      </c>
    </row>
    <row r="91" spans="1:8" ht="15" x14ac:dyDescent="0.25">
      <c r="A91" s="53" t="s">
        <v>223</v>
      </c>
      <c r="B91" s="111">
        <f>COUNTIF(Data!$BC$2:$BC$500,1)</f>
        <v>0</v>
      </c>
      <c r="C91" s="111">
        <f>COUNTIF(Data!$BC$2:$BC$500,2)</f>
        <v>0</v>
      </c>
      <c r="D91" s="111">
        <f>COUNTIF(Data!$BC$2:$BC$500,3)</f>
        <v>0</v>
      </c>
      <c r="E91" s="111">
        <f>COUNTIF(Data!$BC$2:$BC$500,4)</f>
        <v>3</v>
      </c>
      <c r="F91" s="111">
        <f>COUNTIF(Data!$BC$2:$BC$500,5)</f>
        <v>20</v>
      </c>
      <c r="G91" s="111">
        <f>COUNTIF(Data!$BC$2:$BC$500,9)</f>
        <v>7</v>
      </c>
      <c r="H91" s="112">
        <f t="shared" ref="H91:H92" si="6">((B91*1)+(C91*2)+(D91*3)+(E91*4)+(F91*5))/SUM(B91:F91)</f>
        <v>4.8695652173913047</v>
      </c>
    </row>
    <row r="92" spans="1:8" ht="30" x14ac:dyDescent="0.25">
      <c r="A92" s="53" t="s">
        <v>224</v>
      </c>
      <c r="B92" s="111">
        <f>COUNTIF(Data!$BD$2:$BD$500,1)</f>
        <v>0</v>
      </c>
      <c r="C92" s="111">
        <f>COUNTIF(Data!$BD$2:$BD$500,2)</f>
        <v>0</v>
      </c>
      <c r="D92" s="111">
        <f>COUNTIF(Data!$BD$2:$BD$500,3)</f>
        <v>2</v>
      </c>
      <c r="E92" s="111">
        <f>COUNTIF(Data!$BD$2:$BD$500,4)</f>
        <v>4</v>
      </c>
      <c r="F92" s="111">
        <f>COUNTIF(Data!$BD$2:$BD$500,5)</f>
        <v>17</v>
      </c>
      <c r="G92" s="111">
        <f>COUNTIF(Data!$BD$2:$BD$500,9)</f>
        <v>7</v>
      </c>
      <c r="H92" s="112">
        <f t="shared" si="6"/>
        <v>4.6521739130434785</v>
      </c>
    </row>
    <row r="93" spans="1:8" ht="15.6" x14ac:dyDescent="0.3">
      <c r="A93" s="116" t="s">
        <v>136</v>
      </c>
      <c r="B93" s="81"/>
      <c r="C93" s="81"/>
      <c r="D93" s="81"/>
      <c r="E93" s="81"/>
      <c r="F93" s="81"/>
      <c r="G93" s="81"/>
      <c r="H93" s="81">
        <f>(H91+H92)/2</f>
        <v>4.7608695652173916</v>
      </c>
    </row>
    <row r="95" spans="1:8" ht="27.6" x14ac:dyDescent="0.25">
      <c r="A95" s="124" t="s">
        <v>225</v>
      </c>
      <c r="B95" s="108"/>
    </row>
    <row r="96" spans="1:8" ht="15" x14ac:dyDescent="0.25">
      <c r="A96" s="53" t="s">
        <v>226</v>
      </c>
      <c r="B96" s="111">
        <f>SUM(Data!$BG$2:$BG$500,1)</f>
        <v>45</v>
      </c>
    </row>
    <row r="97" spans="1:2" ht="30" x14ac:dyDescent="0.25">
      <c r="A97" s="53" t="s">
        <v>227</v>
      </c>
      <c r="B97" s="111">
        <f>SUM(Data!$BH$2:$BH$500,1)</f>
        <v>1</v>
      </c>
    </row>
    <row r="98" spans="1:2" ht="15" x14ac:dyDescent="0.25">
      <c r="A98" s="53" t="s">
        <v>228</v>
      </c>
      <c r="B98" s="111">
        <f>SUM(Data!$BI$2:$BI$500,1)</f>
        <v>87</v>
      </c>
    </row>
  </sheetData>
  <mergeCells count="2">
    <mergeCell ref="A43:C43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defaultColWidth="14.44140625" defaultRowHeight="15.75" customHeight="1" x14ac:dyDescent="0.2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I188"/>
  <sheetViews>
    <sheetView workbookViewId="0"/>
  </sheetViews>
  <sheetFormatPr defaultColWidth="14.44140625" defaultRowHeight="15.75" customHeight="1" x14ac:dyDescent="0.25"/>
  <sheetData>
    <row r="1" spans="1:113" ht="13.2" x14ac:dyDescent="0.25">
      <c r="A1" s="125" t="s">
        <v>229</v>
      </c>
      <c r="B1" s="126" t="s">
        <v>230</v>
      </c>
      <c r="C1" s="126" t="s">
        <v>231</v>
      </c>
      <c r="D1" s="126" t="s">
        <v>232</v>
      </c>
      <c r="E1" s="126" t="s">
        <v>233</v>
      </c>
      <c r="F1" s="126" t="s">
        <v>234</v>
      </c>
      <c r="G1" s="126" t="s">
        <v>27</v>
      </c>
      <c r="H1" s="126" t="s">
        <v>37</v>
      </c>
      <c r="I1" s="126" t="s">
        <v>235</v>
      </c>
      <c r="J1" s="126" t="s">
        <v>44</v>
      </c>
      <c r="K1" s="126" t="s">
        <v>54</v>
      </c>
      <c r="L1" s="126" t="s">
        <v>65</v>
      </c>
      <c r="M1" s="126" t="s">
        <v>236</v>
      </c>
      <c r="N1" s="126" t="s">
        <v>237</v>
      </c>
      <c r="O1" s="126" t="s">
        <v>238</v>
      </c>
      <c r="P1" s="126" t="s">
        <v>239</v>
      </c>
      <c r="Q1" s="126" t="s">
        <v>240</v>
      </c>
      <c r="R1" s="126" t="s">
        <v>241</v>
      </c>
      <c r="S1" s="126" t="s">
        <v>242</v>
      </c>
      <c r="T1" s="126" t="s">
        <v>243</v>
      </c>
      <c r="U1" s="126" t="s">
        <v>244</v>
      </c>
      <c r="V1" s="126" t="s">
        <v>245</v>
      </c>
      <c r="W1" s="126" t="s">
        <v>246</v>
      </c>
      <c r="X1" s="126" t="s">
        <v>247</v>
      </c>
      <c r="Y1" s="126" t="s">
        <v>248</v>
      </c>
      <c r="Z1" s="126" t="s">
        <v>249</v>
      </c>
      <c r="AA1" s="126" t="s">
        <v>250</v>
      </c>
      <c r="AB1" s="126" t="s">
        <v>251</v>
      </c>
      <c r="AC1" s="126" t="s">
        <v>252</v>
      </c>
      <c r="AD1" s="126" t="s">
        <v>253</v>
      </c>
      <c r="AE1" s="126" t="s">
        <v>254</v>
      </c>
      <c r="AF1" s="126" t="s">
        <v>255</v>
      </c>
      <c r="AG1" s="126" t="s">
        <v>256</v>
      </c>
      <c r="AH1" s="126" t="s">
        <v>257</v>
      </c>
      <c r="AI1" s="126" t="s">
        <v>258</v>
      </c>
      <c r="AJ1" s="126" t="s">
        <v>259</v>
      </c>
      <c r="AK1" s="126" t="s">
        <v>260</v>
      </c>
      <c r="AL1" s="126" t="s">
        <v>261</v>
      </c>
      <c r="AM1" s="126" t="s">
        <v>262</v>
      </c>
      <c r="AN1" s="126" t="s">
        <v>263</v>
      </c>
      <c r="AO1" s="126" t="s">
        <v>264</v>
      </c>
      <c r="AP1" s="126" t="s">
        <v>265</v>
      </c>
      <c r="AQ1" s="126" t="s">
        <v>266</v>
      </c>
      <c r="AR1" s="126" t="s">
        <v>267</v>
      </c>
      <c r="AS1" s="126" t="s">
        <v>268</v>
      </c>
      <c r="AT1" s="126" t="s">
        <v>269</v>
      </c>
      <c r="AU1" s="126" t="s">
        <v>270</v>
      </c>
      <c r="AV1" s="126" t="s">
        <v>271</v>
      </c>
      <c r="AW1" s="126" t="s">
        <v>272</v>
      </c>
      <c r="AX1" s="126" t="s">
        <v>273</v>
      </c>
      <c r="AY1" s="126" t="s">
        <v>274</v>
      </c>
      <c r="AZ1" s="126" t="s">
        <v>275</v>
      </c>
      <c r="BA1" s="126" t="s">
        <v>276</v>
      </c>
      <c r="BB1" s="126" t="s">
        <v>277</v>
      </c>
      <c r="BC1" s="126" t="s">
        <v>278</v>
      </c>
      <c r="BD1" s="126" t="s">
        <v>279</v>
      </c>
      <c r="BE1" s="126" t="s">
        <v>280</v>
      </c>
      <c r="BF1" s="126" t="s">
        <v>281</v>
      </c>
      <c r="BG1" s="126" t="s">
        <v>282</v>
      </c>
      <c r="BH1" s="126" t="s">
        <v>283</v>
      </c>
      <c r="BI1" s="126" t="s">
        <v>284</v>
      </c>
      <c r="BJ1" s="126" t="s">
        <v>285</v>
      </c>
      <c r="BK1" s="126" t="s">
        <v>286</v>
      </c>
      <c r="BL1" s="126" t="s">
        <v>287</v>
      </c>
      <c r="BM1" s="126" t="s">
        <v>288</v>
      </c>
      <c r="BN1" s="126" t="s">
        <v>289</v>
      </c>
      <c r="BO1" s="127" t="s">
        <v>290</v>
      </c>
      <c r="BP1" s="128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7"/>
      <c r="DD1" s="128"/>
      <c r="DE1" s="128"/>
      <c r="DF1" s="128"/>
      <c r="DG1" s="128"/>
      <c r="DH1" s="126"/>
      <c r="DI1" s="126"/>
    </row>
    <row r="2" spans="1:113" ht="13.2" x14ac:dyDescent="0.25">
      <c r="A2" s="129">
        <v>43591.277563807875</v>
      </c>
      <c r="B2" s="126" t="s">
        <v>291</v>
      </c>
      <c r="C2" s="126" t="s">
        <v>9</v>
      </c>
      <c r="D2" s="126" t="s">
        <v>19</v>
      </c>
      <c r="E2" s="126" t="s">
        <v>18</v>
      </c>
      <c r="F2" s="126" t="s">
        <v>24</v>
      </c>
      <c r="G2" s="126" t="s">
        <v>28</v>
      </c>
      <c r="H2" s="127" t="s">
        <v>40</v>
      </c>
      <c r="I2" s="126"/>
      <c r="J2" s="126" t="s">
        <v>21</v>
      </c>
      <c r="K2" s="126" t="s">
        <v>64</v>
      </c>
      <c r="L2" s="126" t="s">
        <v>64</v>
      </c>
      <c r="M2" s="130">
        <v>9</v>
      </c>
      <c r="N2" s="130">
        <v>5</v>
      </c>
      <c r="O2" s="130">
        <v>4</v>
      </c>
      <c r="P2" s="130">
        <v>5</v>
      </c>
      <c r="Q2" s="130">
        <v>9</v>
      </c>
      <c r="R2" s="130">
        <v>5</v>
      </c>
      <c r="S2" s="130">
        <v>5</v>
      </c>
      <c r="T2" s="130">
        <v>5</v>
      </c>
      <c r="U2" s="130">
        <v>5</v>
      </c>
      <c r="V2" s="130">
        <v>5</v>
      </c>
      <c r="W2" s="130">
        <v>5</v>
      </c>
      <c r="X2" s="130">
        <v>3</v>
      </c>
      <c r="Y2" s="130">
        <v>5</v>
      </c>
      <c r="Z2" s="130">
        <v>5</v>
      </c>
      <c r="AA2" s="130">
        <v>5</v>
      </c>
      <c r="AB2" s="130">
        <v>5</v>
      </c>
      <c r="AC2" s="130">
        <v>5</v>
      </c>
      <c r="AD2" s="130">
        <v>5</v>
      </c>
      <c r="AE2" s="130">
        <v>5</v>
      </c>
      <c r="AF2" s="130">
        <v>5</v>
      </c>
      <c r="AG2" s="130">
        <v>5</v>
      </c>
      <c r="AH2" s="130">
        <v>5</v>
      </c>
      <c r="AI2" s="126" t="s">
        <v>20</v>
      </c>
      <c r="AJ2" s="130">
        <v>9</v>
      </c>
      <c r="AK2" s="130">
        <v>5</v>
      </c>
      <c r="AL2" s="130">
        <v>9</v>
      </c>
      <c r="AM2" s="130">
        <v>5</v>
      </c>
      <c r="AN2" s="130">
        <v>5</v>
      </c>
      <c r="AO2" s="130">
        <v>5</v>
      </c>
      <c r="AP2" s="130">
        <v>5</v>
      </c>
      <c r="AQ2" s="130">
        <v>5</v>
      </c>
      <c r="AR2" s="130">
        <v>5</v>
      </c>
      <c r="AS2" s="130">
        <v>5</v>
      </c>
      <c r="AT2" s="130">
        <v>4</v>
      </c>
      <c r="AU2" s="130">
        <v>5</v>
      </c>
      <c r="AV2" s="130">
        <v>5</v>
      </c>
      <c r="AW2" s="130">
        <v>5</v>
      </c>
      <c r="AX2" s="130">
        <v>5</v>
      </c>
      <c r="AY2" s="130">
        <v>2</v>
      </c>
      <c r="AZ2" s="130">
        <v>9</v>
      </c>
      <c r="BA2" s="130">
        <v>1</v>
      </c>
      <c r="BB2" s="130">
        <v>1</v>
      </c>
      <c r="BC2" s="130">
        <v>5</v>
      </c>
      <c r="BD2" s="130">
        <v>4</v>
      </c>
      <c r="BE2" s="130">
        <v>1</v>
      </c>
      <c r="BF2" s="126" t="s">
        <v>292</v>
      </c>
      <c r="BG2" s="126" t="s">
        <v>292</v>
      </c>
      <c r="BH2" s="131"/>
      <c r="BI2" s="130">
        <v>1</v>
      </c>
      <c r="BJ2" s="131" t="s">
        <v>190</v>
      </c>
      <c r="BK2" s="126" t="s">
        <v>192</v>
      </c>
      <c r="BL2" s="126" t="s">
        <v>20</v>
      </c>
      <c r="BM2" s="126" t="s">
        <v>292</v>
      </c>
      <c r="BN2" s="130">
        <v>9</v>
      </c>
      <c r="BO2" s="126"/>
      <c r="BP2" s="126"/>
      <c r="BQ2" s="126"/>
      <c r="BR2" s="130"/>
      <c r="BS2" s="130"/>
      <c r="BT2" s="130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</row>
    <row r="3" spans="1:113" ht="13.5" customHeight="1" x14ac:dyDescent="0.25">
      <c r="A3" s="129">
        <v>43591.279783275459</v>
      </c>
      <c r="B3" s="126" t="s">
        <v>293</v>
      </c>
      <c r="C3" s="126" t="s">
        <v>9</v>
      </c>
      <c r="D3" s="126" t="s">
        <v>19</v>
      </c>
      <c r="E3" s="126" t="s">
        <v>18</v>
      </c>
      <c r="F3" s="126" t="s">
        <v>24</v>
      </c>
      <c r="G3" s="126" t="s">
        <v>31</v>
      </c>
      <c r="H3" s="126" t="s">
        <v>39</v>
      </c>
      <c r="I3" s="126" t="s">
        <v>45</v>
      </c>
      <c r="J3" s="126" t="s">
        <v>49</v>
      </c>
      <c r="K3" s="126" t="s">
        <v>64</v>
      </c>
      <c r="L3" s="126" t="s">
        <v>64</v>
      </c>
      <c r="M3" s="130">
        <v>5</v>
      </c>
      <c r="N3" s="130">
        <v>4</v>
      </c>
      <c r="O3" s="130">
        <v>3</v>
      </c>
      <c r="P3" s="130">
        <v>5</v>
      </c>
      <c r="Q3" s="130">
        <v>9</v>
      </c>
      <c r="R3" s="130">
        <v>4</v>
      </c>
      <c r="S3" s="130">
        <v>5</v>
      </c>
      <c r="T3" s="130">
        <v>4</v>
      </c>
      <c r="U3" s="130">
        <v>5</v>
      </c>
      <c r="V3" s="130">
        <v>5</v>
      </c>
      <c r="W3" s="130">
        <v>5</v>
      </c>
      <c r="X3" s="130">
        <v>9</v>
      </c>
      <c r="Y3" s="130">
        <v>4</v>
      </c>
      <c r="Z3" s="130">
        <v>5</v>
      </c>
      <c r="AA3" s="130">
        <v>5</v>
      </c>
      <c r="AB3" s="130">
        <v>5</v>
      </c>
      <c r="AC3" s="130">
        <v>5</v>
      </c>
      <c r="AD3" s="130">
        <v>5</v>
      </c>
      <c r="AE3" s="130">
        <v>5</v>
      </c>
      <c r="AF3" s="130">
        <v>5</v>
      </c>
      <c r="AG3" s="130">
        <v>5</v>
      </c>
      <c r="AH3" s="130">
        <v>5</v>
      </c>
      <c r="AI3" s="126" t="s">
        <v>18</v>
      </c>
      <c r="AJ3" s="130">
        <v>9</v>
      </c>
      <c r="AK3" s="130">
        <v>5</v>
      </c>
      <c r="AL3" s="130">
        <v>1</v>
      </c>
      <c r="AM3" s="130">
        <v>5</v>
      </c>
      <c r="AN3" s="130">
        <v>5</v>
      </c>
      <c r="AO3" s="130">
        <v>5</v>
      </c>
      <c r="AP3" s="130">
        <v>4</v>
      </c>
      <c r="AQ3" s="130">
        <v>5</v>
      </c>
      <c r="AR3" s="130">
        <v>5</v>
      </c>
      <c r="AS3" s="130">
        <v>4</v>
      </c>
      <c r="AT3" s="130">
        <v>5</v>
      </c>
      <c r="AU3" s="130">
        <v>5</v>
      </c>
      <c r="AV3" s="130">
        <v>5</v>
      </c>
      <c r="AW3" s="130">
        <v>5</v>
      </c>
      <c r="AX3" s="130">
        <v>5</v>
      </c>
      <c r="AY3" s="130">
        <v>1</v>
      </c>
      <c r="AZ3" s="130">
        <v>2</v>
      </c>
      <c r="BA3" s="130">
        <v>1</v>
      </c>
      <c r="BB3" s="126" t="s">
        <v>294</v>
      </c>
      <c r="BC3" s="130">
        <v>5</v>
      </c>
      <c r="BD3" s="130">
        <v>4</v>
      </c>
      <c r="BE3" s="130">
        <v>4</v>
      </c>
      <c r="BF3" s="130">
        <v>0</v>
      </c>
      <c r="BG3" s="130">
        <v>2</v>
      </c>
      <c r="BH3" s="131"/>
      <c r="BI3" s="130">
        <v>1</v>
      </c>
      <c r="BJ3" s="131" t="s">
        <v>190</v>
      </c>
      <c r="BK3" s="126" t="s">
        <v>192</v>
      </c>
      <c r="BL3" s="126" t="s">
        <v>18</v>
      </c>
      <c r="BM3" s="126" t="s">
        <v>20</v>
      </c>
      <c r="BN3" s="130">
        <v>9</v>
      </c>
      <c r="BO3" s="126"/>
      <c r="BP3" s="126"/>
      <c r="BQ3" s="126"/>
      <c r="BR3" s="130"/>
      <c r="BS3" s="130"/>
      <c r="BT3" s="130"/>
      <c r="BU3" s="126"/>
      <c r="BV3" s="126"/>
      <c r="BW3" s="126"/>
      <c r="BX3" s="126"/>
      <c r="BY3" s="126"/>
      <c r="BZ3" s="130">
        <v>5</v>
      </c>
      <c r="CA3" s="126">
        <f t="shared" ref="CA3:CA33" si="0">IF(BZ3=1,5,1)</f>
        <v>1</v>
      </c>
      <c r="CB3" s="130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</row>
    <row r="4" spans="1:113" ht="13.2" x14ac:dyDescent="0.25">
      <c r="A4" s="129">
        <v>43591.282251053242</v>
      </c>
      <c r="B4" s="126" t="s">
        <v>293</v>
      </c>
      <c r="C4" s="126" t="s">
        <v>9</v>
      </c>
      <c r="D4" s="126" t="s">
        <v>19</v>
      </c>
      <c r="E4" s="126" t="s">
        <v>18</v>
      </c>
      <c r="F4" s="126" t="s">
        <v>24</v>
      </c>
      <c r="G4" s="126" t="s">
        <v>32</v>
      </c>
      <c r="H4" s="126" t="s">
        <v>39</v>
      </c>
      <c r="I4" s="126" t="s">
        <v>45</v>
      </c>
      <c r="J4" s="126" t="s">
        <v>47</v>
      </c>
      <c r="K4" s="126" t="s">
        <v>64</v>
      </c>
      <c r="L4" s="126" t="s">
        <v>64</v>
      </c>
      <c r="M4" s="130">
        <v>5</v>
      </c>
      <c r="N4" s="130">
        <v>5</v>
      </c>
      <c r="O4" s="130">
        <v>4</v>
      </c>
      <c r="P4" s="130">
        <v>5</v>
      </c>
      <c r="Q4" s="130">
        <v>5</v>
      </c>
      <c r="R4" s="130">
        <v>5</v>
      </c>
      <c r="S4" s="130">
        <v>5</v>
      </c>
      <c r="T4" s="130">
        <v>5</v>
      </c>
      <c r="U4" s="130">
        <v>5</v>
      </c>
      <c r="V4" s="130">
        <v>5</v>
      </c>
      <c r="W4" s="130">
        <v>5</v>
      </c>
      <c r="X4" s="130">
        <v>5</v>
      </c>
      <c r="Y4" s="130">
        <v>5</v>
      </c>
      <c r="Z4" s="130">
        <v>5</v>
      </c>
      <c r="AA4" s="130">
        <v>5</v>
      </c>
      <c r="AB4" s="130">
        <v>5</v>
      </c>
      <c r="AC4" s="130">
        <v>5</v>
      </c>
      <c r="AD4" s="130">
        <v>5</v>
      </c>
      <c r="AE4" s="130">
        <v>5</v>
      </c>
      <c r="AF4" s="130">
        <v>5</v>
      </c>
      <c r="AG4" s="130">
        <v>5</v>
      </c>
      <c r="AH4" s="130">
        <v>5</v>
      </c>
      <c r="AI4" s="126" t="s">
        <v>18</v>
      </c>
      <c r="AJ4" s="130">
        <v>5</v>
      </c>
      <c r="AK4" s="130">
        <v>5</v>
      </c>
      <c r="AL4" s="132">
        <v>1</v>
      </c>
      <c r="AM4" s="130">
        <v>5</v>
      </c>
      <c r="AN4" s="130">
        <v>5</v>
      </c>
      <c r="AO4" s="130">
        <v>5</v>
      </c>
      <c r="AP4" s="130">
        <v>4</v>
      </c>
      <c r="AQ4" s="130">
        <v>4</v>
      </c>
      <c r="AR4" s="130">
        <v>5</v>
      </c>
      <c r="AS4" s="130">
        <v>4</v>
      </c>
      <c r="AT4" s="130">
        <v>5</v>
      </c>
      <c r="AU4" s="130">
        <v>5</v>
      </c>
      <c r="AV4" s="130">
        <v>5</v>
      </c>
      <c r="AW4" s="130">
        <v>5</v>
      </c>
      <c r="AX4" s="130">
        <v>5</v>
      </c>
      <c r="AY4" s="130">
        <v>9</v>
      </c>
      <c r="AZ4" s="130">
        <v>9</v>
      </c>
      <c r="BA4" s="130">
        <v>1</v>
      </c>
      <c r="BB4" s="130">
        <v>1</v>
      </c>
      <c r="BC4" s="130">
        <v>5</v>
      </c>
      <c r="BD4" s="130">
        <v>4</v>
      </c>
      <c r="BE4" s="126" t="s">
        <v>292</v>
      </c>
      <c r="BF4" s="130">
        <v>0</v>
      </c>
      <c r="BG4" s="126" t="s">
        <v>292</v>
      </c>
      <c r="BH4" s="126" t="s">
        <v>295</v>
      </c>
      <c r="BI4" s="130">
        <v>9</v>
      </c>
      <c r="BJ4" s="131" t="s">
        <v>190</v>
      </c>
      <c r="BK4" s="126" t="s">
        <v>193</v>
      </c>
      <c r="BL4" s="126" t="s">
        <v>18</v>
      </c>
      <c r="BM4" s="126" t="s">
        <v>20</v>
      </c>
      <c r="BN4" s="130">
        <v>9</v>
      </c>
      <c r="BO4" s="126"/>
      <c r="BP4" s="126"/>
      <c r="BQ4" s="126"/>
      <c r="BR4" s="130"/>
      <c r="BS4" s="130"/>
      <c r="BT4" s="130"/>
      <c r="BU4" s="126"/>
      <c r="BV4" s="126"/>
      <c r="BW4" s="126"/>
      <c r="BX4" s="126"/>
      <c r="BY4" s="126"/>
      <c r="BZ4" s="130">
        <v>1</v>
      </c>
      <c r="CA4" s="126">
        <f t="shared" si="0"/>
        <v>5</v>
      </c>
      <c r="CB4" s="130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</row>
    <row r="5" spans="1:113" ht="13.2" x14ac:dyDescent="0.25">
      <c r="A5" s="129">
        <v>43591.284009143521</v>
      </c>
      <c r="B5" s="126" t="s">
        <v>291</v>
      </c>
      <c r="C5" s="126" t="s">
        <v>9</v>
      </c>
      <c r="D5" s="126" t="s">
        <v>19</v>
      </c>
      <c r="E5" s="126" t="s">
        <v>18</v>
      </c>
      <c r="F5" s="126" t="s">
        <v>26</v>
      </c>
      <c r="G5" s="126" t="s">
        <v>32</v>
      </c>
      <c r="H5" s="127" t="s">
        <v>40</v>
      </c>
      <c r="I5" s="126"/>
      <c r="J5" s="126" t="s">
        <v>21</v>
      </c>
      <c r="K5" s="126" t="s">
        <v>296</v>
      </c>
      <c r="L5" s="126" t="s">
        <v>55</v>
      </c>
      <c r="M5" s="130">
        <v>5</v>
      </c>
      <c r="N5" s="130">
        <v>4</v>
      </c>
      <c r="O5" s="130">
        <v>4</v>
      </c>
      <c r="P5" s="130">
        <v>9</v>
      </c>
      <c r="Q5" s="130">
        <v>9</v>
      </c>
      <c r="R5" s="130">
        <v>9</v>
      </c>
      <c r="S5" s="130">
        <v>1</v>
      </c>
      <c r="T5" s="130">
        <v>4</v>
      </c>
      <c r="U5" s="130">
        <v>4</v>
      </c>
      <c r="V5" s="130">
        <v>4</v>
      </c>
      <c r="W5" s="130">
        <v>5</v>
      </c>
      <c r="X5" s="130">
        <v>9</v>
      </c>
      <c r="Y5" s="130">
        <v>5</v>
      </c>
      <c r="Z5" s="130">
        <v>5</v>
      </c>
      <c r="AA5" s="130">
        <v>4</v>
      </c>
      <c r="AB5" s="130">
        <v>5</v>
      </c>
      <c r="AC5" s="130">
        <v>5</v>
      </c>
      <c r="AD5" s="130">
        <v>5</v>
      </c>
      <c r="AE5" s="130">
        <v>5</v>
      </c>
      <c r="AF5" s="130">
        <v>5</v>
      </c>
      <c r="AG5" s="130">
        <v>5</v>
      </c>
      <c r="AH5" s="130">
        <v>5</v>
      </c>
      <c r="AI5" s="126" t="s">
        <v>20</v>
      </c>
      <c r="AJ5" s="130">
        <v>9</v>
      </c>
      <c r="AK5" s="130">
        <v>9</v>
      </c>
      <c r="AL5" s="132">
        <v>9</v>
      </c>
      <c r="AM5" s="130">
        <v>9</v>
      </c>
      <c r="AN5" s="130">
        <v>9</v>
      </c>
      <c r="AO5" s="130">
        <v>9</v>
      </c>
      <c r="AP5" s="130">
        <v>9</v>
      </c>
      <c r="AQ5" s="130">
        <v>9</v>
      </c>
      <c r="AR5" s="130">
        <v>9</v>
      </c>
      <c r="AS5" s="130">
        <v>9</v>
      </c>
      <c r="AT5" s="130">
        <v>9</v>
      </c>
      <c r="AU5" s="130">
        <v>9</v>
      </c>
      <c r="AV5" s="130">
        <v>9</v>
      </c>
      <c r="AW5" s="130">
        <v>9</v>
      </c>
      <c r="AX5" s="130">
        <v>9</v>
      </c>
      <c r="AY5" s="130">
        <v>9</v>
      </c>
      <c r="AZ5" s="130">
        <v>9</v>
      </c>
      <c r="BA5" s="130">
        <v>9</v>
      </c>
      <c r="BB5" s="130">
        <v>9</v>
      </c>
      <c r="BC5" s="130">
        <v>9</v>
      </c>
      <c r="BD5" s="130">
        <v>9</v>
      </c>
      <c r="BE5" s="126" t="s">
        <v>292</v>
      </c>
      <c r="BF5" s="126" t="s">
        <v>292</v>
      </c>
      <c r="BG5" s="126" t="s">
        <v>292</v>
      </c>
      <c r="BH5" s="126"/>
      <c r="BI5" s="130">
        <v>1</v>
      </c>
      <c r="BJ5" s="126" t="s">
        <v>190</v>
      </c>
      <c r="BK5" s="126" t="s">
        <v>194</v>
      </c>
      <c r="BL5" s="126" t="s">
        <v>18</v>
      </c>
      <c r="BM5" s="126" t="s">
        <v>20</v>
      </c>
      <c r="BN5" s="130">
        <v>9</v>
      </c>
      <c r="BO5" s="126"/>
      <c r="BP5" s="126"/>
      <c r="BQ5" s="126"/>
      <c r="BR5" s="130"/>
      <c r="BS5" s="130"/>
      <c r="BT5" s="130"/>
      <c r="BU5" s="126"/>
      <c r="BV5" s="126"/>
      <c r="BW5" s="126"/>
      <c r="BX5" s="126"/>
      <c r="BY5" s="126"/>
      <c r="BZ5" s="130">
        <v>1</v>
      </c>
      <c r="CA5" s="126">
        <f t="shared" si="0"/>
        <v>5</v>
      </c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</row>
    <row r="6" spans="1:113" ht="13.2" x14ac:dyDescent="0.25">
      <c r="A6" s="129">
        <v>43591.285897962967</v>
      </c>
      <c r="B6" s="126" t="s">
        <v>291</v>
      </c>
      <c r="C6" s="126" t="s">
        <v>11</v>
      </c>
      <c r="D6" s="126" t="s">
        <v>19</v>
      </c>
      <c r="E6" s="126" t="s">
        <v>20</v>
      </c>
      <c r="F6" s="126" t="s">
        <v>26</v>
      </c>
      <c r="G6" s="126" t="s">
        <v>32</v>
      </c>
      <c r="H6" s="126" t="s">
        <v>38</v>
      </c>
      <c r="I6" s="126" t="s">
        <v>45</v>
      </c>
      <c r="J6" s="126" t="s">
        <v>47</v>
      </c>
      <c r="K6" s="126" t="s">
        <v>297</v>
      </c>
      <c r="L6" s="126" t="s">
        <v>61</v>
      </c>
      <c r="M6" s="130">
        <v>5</v>
      </c>
      <c r="N6" s="130">
        <v>3</v>
      </c>
      <c r="O6" s="130">
        <v>2</v>
      </c>
      <c r="P6" s="130">
        <v>5</v>
      </c>
      <c r="Q6" s="130">
        <v>5</v>
      </c>
      <c r="R6" s="130">
        <v>9</v>
      </c>
      <c r="S6" s="130">
        <v>5</v>
      </c>
      <c r="T6" s="130">
        <v>1</v>
      </c>
      <c r="U6" s="130">
        <v>9</v>
      </c>
      <c r="V6" s="130">
        <v>9</v>
      </c>
      <c r="W6" s="130">
        <v>9</v>
      </c>
      <c r="X6" s="130">
        <v>9</v>
      </c>
      <c r="Y6" s="130">
        <v>5</v>
      </c>
      <c r="Z6" s="130">
        <v>9</v>
      </c>
      <c r="AA6" s="130">
        <v>5</v>
      </c>
      <c r="AB6" s="130">
        <v>5</v>
      </c>
      <c r="AC6" s="130">
        <v>5</v>
      </c>
      <c r="AD6" s="130">
        <v>5</v>
      </c>
      <c r="AE6" s="130">
        <v>9</v>
      </c>
      <c r="AF6" s="130">
        <v>9</v>
      </c>
      <c r="AG6" s="130">
        <v>9</v>
      </c>
      <c r="AH6" s="130">
        <v>9</v>
      </c>
      <c r="AI6" s="126" t="s">
        <v>20</v>
      </c>
      <c r="AJ6" s="130">
        <v>9</v>
      </c>
      <c r="AK6" s="130">
        <v>9</v>
      </c>
      <c r="AL6" s="132">
        <v>9</v>
      </c>
      <c r="AM6" s="130">
        <v>9</v>
      </c>
      <c r="AN6" s="130">
        <v>9</v>
      </c>
      <c r="AO6" s="130">
        <v>5</v>
      </c>
      <c r="AP6" s="130">
        <v>9</v>
      </c>
      <c r="AQ6" s="130">
        <v>9</v>
      </c>
      <c r="AR6" s="130">
        <v>9</v>
      </c>
      <c r="AS6" s="130">
        <v>9</v>
      </c>
      <c r="AT6" s="130">
        <v>9</v>
      </c>
      <c r="AU6" s="130">
        <v>5</v>
      </c>
      <c r="AV6" s="130">
        <v>9</v>
      </c>
      <c r="AW6" s="130">
        <v>9</v>
      </c>
      <c r="AX6" s="130">
        <v>9</v>
      </c>
      <c r="AY6" s="130">
        <v>9</v>
      </c>
      <c r="AZ6" s="130">
        <v>9</v>
      </c>
      <c r="BA6" s="130">
        <v>9</v>
      </c>
      <c r="BB6" s="130">
        <v>9</v>
      </c>
      <c r="BC6" s="130">
        <v>9</v>
      </c>
      <c r="BD6" s="130">
        <v>9</v>
      </c>
      <c r="BE6" s="126" t="s">
        <v>292</v>
      </c>
      <c r="BF6" s="126" t="s">
        <v>292</v>
      </c>
      <c r="BG6" s="126" t="s">
        <v>292</v>
      </c>
      <c r="BH6" s="126"/>
      <c r="BI6" s="130">
        <v>9</v>
      </c>
      <c r="BJ6" s="126" t="s">
        <v>188</v>
      </c>
      <c r="BK6" s="126" t="s">
        <v>292</v>
      </c>
      <c r="BL6" s="126" t="s">
        <v>292</v>
      </c>
      <c r="BM6" s="126" t="s">
        <v>20</v>
      </c>
      <c r="BN6" s="126"/>
      <c r="BO6" s="126"/>
      <c r="BP6" s="126"/>
      <c r="BQ6" s="126"/>
      <c r="BR6" s="130"/>
      <c r="BS6" s="130"/>
      <c r="BT6" s="130"/>
      <c r="BU6" s="126"/>
      <c r="BV6" s="126"/>
      <c r="BW6" s="126"/>
      <c r="BX6" s="126"/>
      <c r="BY6" s="126"/>
      <c r="BZ6" s="130">
        <v>1</v>
      </c>
      <c r="CA6" s="126">
        <f t="shared" si="0"/>
        <v>5</v>
      </c>
      <c r="CB6" s="130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</row>
    <row r="7" spans="1:113" ht="13.2" x14ac:dyDescent="0.25">
      <c r="A7" s="129">
        <v>43591.287726319446</v>
      </c>
      <c r="B7" s="126" t="s">
        <v>293</v>
      </c>
      <c r="C7" s="126" t="s">
        <v>11</v>
      </c>
      <c r="D7" s="126" t="s">
        <v>19</v>
      </c>
      <c r="E7" s="126" t="s">
        <v>20</v>
      </c>
      <c r="F7" s="126" t="s">
        <v>26</v>
      </c>
      <c r="G7" s="126" t="s">
        <v>32</v>
      </c>
      <c r="H7" s="126" t="s">
        <v>38</v>
      </c>
      <c r="I7" s="126" t="s">
        <v>46</v>
      </c>
      <c r="J7" s="126" t="s">
        <v>49</v>
      </c>
      <c r="K7" s="126" t="s">
        <v>297</v>
      </c>
      <c r="L7" s="126" t="s">
        <v>55</v>
      </c>
      <c r="M7" s="130">
        <v>5</v>
      </c>
      <c r="N7" s="130">
        <v>5</v>
      </c>
      <c r="O7" s="130">
        <v>1</v>
      </c>
      <c r="P7" s="130">
        <v>5</v>
      </c>
      <c r="Q7" s="130">
        <v>5</v>
      </c>
      <c r="R7" s="130">
        <v>5</v>
      </c>
      <c r="S7" s="130">
        <v>5</v>
      </c>
      <c r="T7" s="130">
        <v>5</v>
      </c>
      <c r="U7" s="130">
        <v>5</v>
      </c>
      <c r="V7" s="130">
        <v>5</v>
      </c>
      <c r="W7" s="130">
        <v>5</v>
      </c>
      <c r="X7" s="130">
        <v>5</v>
      </c>
      <c r="Y7" s="130">
        <v>5</v>
      </c>
      <c r="Z7" s="130">
        <v>5</v>
      </c>
      <c r="AA7" s="130">
        <v>5</v>
      </c>
      <c r="AB7" s="130">
        <v>5</v>
      </c>
      <c r="AC7" s="130">
        <v>5</v>
      </c>
      <c r="AD7" s="130">
        <v>5</v>
      </c>
      <c r="AE7" s="130">
        <v>5</v>
      </c>
      <c r="AF7" s="130">
        <v>5</v>
      </c>
      <c r="AG7" s="130">
        <v>5</v>
      </c>
      <c r="AH7" s="130">
        <v>9</v>
      </c>
      <c r="AI7" s="126" t="s">
        <v>20</v>
      </c>
      <c r="AJ7" s="130">
        <v>9</v>
      </c>
      <c r="AK7" s="130">
        <v>5</v>
      </c>
      <c r="AL7" s="132">
        <v>1</v>
      </c>
      <c r="AM7" s="130">
        <v>5</v>
      </c>
      <c r="AN7" s="130">
        <v>5</v>
      </c>
      <c r="AO7" s="130">
        <v>5</v>
      </c>
      <c r="AP7" s="130">
        <v>5</v>
      </c>
      <c r="AQ7" s="130">
        <v>5</v>
      </c>
      <c r="AR7" s="130">
        <v>5</v>
      </c>
      <c r="AS7" s="130">
        <v>5</v>
      </c>
      <c r="AT7" s="130">
        <v>5</v>
      </c>
      <c r="AU7" s="130">
        <v>5</v>
      </c>
      <c r="AV7" s="130">
        <v>5</v>
      </c>
      <c r="AW7" s="130">
        <v>5</v>
      </c>
      <c r="AX7" s="130">
        <v>5</v>
      </c>
      <c r="AY7" s="130">
        <v>9</v>
      </c>
      <c r="AZ7" s="130">
        <v>9</v>
      </c>
      <c r="BA7" s="130">
        <v>9</v>
      </c>
      <c r="BB7" s="130">
        <v>9</v>
      </c>
      <c r="BC7" s="130">
        <v>9</v>
      </c>
      <c r="BD7" s="130">
        <v>9</v>
      </c>
      <c r="BE7" s="130">
        <v>2</v>
      </c>
      <c r="BF7" s="130">
        <v>0</v>
      </c>
      <c r="BG7" s="130">
        <v>0</v>
      </c>
      <c r="BH7" s="126"/>
      <c r="BI7" s="130">
        <v>1</v>
      </c>
      <c r="BJ7" s="126" t="s">
        <v>190</v>
      </c>
      <c r="BK7" s="126" t="s">
        <v>192</v>
      </c>
      <c r="BL7" s="126" t="s">
        <v>18</v>
      </c>
      <c r="BM7" s="126" t="s">
        <v>20</v>
      </c>
      <c r="BN7" s="130">
        <v>9</v>
      </c>
      <c r="BO7" s="126"/>
      <c r="BP7" s="126"/>
      <c r="BQ7" s="126"/>
      <c r="BR7" s="130"/>
      <c r="BS7" s="130"/>
      <c r="BT7" s="130"/>
      <c r="BU7" s="126"/>
      <c r="BV7" s="126"/>
      <c r="BW7" s="126"/>
      <c r="BX7" s="126"/>
      <c r="BY7" s="126"/>
      <c r="BZ7" s="130">
        <v>1</v>
      </c>
      <c r="CA7" s="126">
        <f t="shared" si="0"/>
        <v>5</v>
      </c>
      <c r="CB7" s="130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</row>
    <row r="8" spans="1:113" ht="13.5" customHeight="1" x14ac:dyDescent="0.25">
      <c r="A8" s="129">
        <v>43591.28959537037</v>
      </c>
      <c r="B8" s="126" t="s">
        <v>291</v>
      </c>
      <c r="C8" s="126" t="s">
        <v>11</v>
      </c>
      <c r="D8" s="126" t="s">
        <v>16</v>
      </c>
      <c r="E8" s="126" t="s">
        <v>20</v>
      </c>
      <c r="F8" s="126" t="s">
        <v>26</v>
      </c>
      <c r="G8" s="126" t="s">
        <v>30</v>
      </c>
      <c r="H8" s="126" t="s">
        <v>21</v>
      </c>
      <c r="I8" s="126" t="s">
        <v>45</v>
      </c>
      <c r="J8" s="126" t="s">
        <v>53</v>
      </c>
      <c r="K8" s="126" t="s">
        <v>63</v>
      </c>
      <c r="L8" s="126" t="s">
        <v>63</v>
      </c>
      <c r="M8" s="130">
        <v>5</v>
      </c>
      <c r="N8" s="130">
        <v>3</v>
      </c>
      <c r="O8" s="130">
        <v>2</v>
      </c>
      <c r="P8" s="130">
        <v>5</v>
      </c>
      <c r="Q8" s="130">
        <v>5</v>
      </c>
      <c r="R8" s="130">
        <v>9</v>
      </c>
      <c r="S8" s="130">
        <v>5</v>
      </c>
      <c r="T8" s="130">
        <v>5</v>
      </c>
      <c r="U8" s="130">
        <v>5</v>
      </c>
      <c r="V8" s="130">
        <v>5</v>
      </c>
      <c r="W8" s="130">
        <v>5</v>
      </c>
      <c r="X8" s="130">
        <v>9</v>
      </c>
      <c r="Y8" s="130">
        <v>5</v>
      </c>
      <c r="Z8" s="130">
        <v>5</v>
      </c>
      <c r="AA8" s="130">
        <v>5</v>
      </c>
      <c r="AB8" s="130">
        <v>5</v>
      </c>
      <c r="AC8" s="130">
        <v>5</v>
      </c>
      <c r="AD8" s="130">
        <v>5</v>
      </c>
      <c r="AE8" s="130">
        <v>5</v>
      </c>
      <c r="AF8" s="130">
        <v>5</v>
      </c>
      <c r="AG8" s="130">
        <v>5</v>
      </c>
      <c r="AH8" s="130">
        <v>9</v>
      </c>
      <c r="AI8" s="126" t="s">
        <v>18</v>
      </c>
      <c r="AJ8" s="130">
        <v>5</v>
      </c>
      <c r="AK8" s="130">
        <v>5</v>
      </c>
      <c r="AL8" s="132">
        <v>1</v>
      </c>
      <c r="AM8" s="130">
        <v>5</v>
      </c>
      <c r="AN8" s="130">
        <v>5</v>
      </c>
      <c r="AO8" s="130">
        <v>5</v>
      </c>
      <c r="AP8" s="130">
        <v>5</v>
      </c>
      <c r="AQ8" s="130">
        <v>5</v>
      </c>
      <c r="AR8" s="130">
        <v>5</v>
      </c>
      <c r="AS8" s="130">
        <v>9</v>
      </c>
      <c r="AT8" s="130">
        <v>9</v>
      </c>
      <c r="AU8" s="130">
        <v>5</v>
      </c>
      <c r="AV8" s="130">
        <v>5</v>
      </c>
      <c r="AW8" s="130">
        <v>5</v>
      </c>
      <c r="AX8" s="130">
        <v>5</v>
      </c>
      <c r="AY8" s="130">
        <v>1</v>
      </c>
      <c r="AZ8" s="130">
        <v>2</v>
      </c>
      <c r="BA8" s="130">
        <v>1</v>
      </c>
      <c r="BB8" s="130">
        <v>1</v>
      </c>
      <c r="BC8" s="130">
        <v>5</v>
      </c>
      <c r="BD8" s="130">
        <v>5</v>
      </c>
      <c r="BE8" s="130">
        <v>2</v>
      </c>
      <c r="BF8" s="130">
        <v>0</v>
      </c>
      <c r="BG8" s="130">
        <v>2</v>
      </c>
      <c r="BH8" s="126"/>
      <c r="BI8" s="130">
        <v>1</v>
      </c>
      <c r="BJ8" s="126" t="s">
        <v>190</v>
      </c>
      <c r="BK8" s="126" t="s">
        <v>193</v>
      </c>
      <c r="BL8" s="126" t="s">
        <v>18</v>
      </c>
      <c r="BM8" s="126" t="s">
        <v>20</v>
      </c>
      <c r="BN8" s="130">
        <v>9</v>
      </c>
      <c r="BO8" s="126"/>
      <c r="BP8" s="126"/>
      <c r="BQ8" s="126"/>
      <c r="BR8" s="130"/>
      <c r="BS8" s="130"/>
      <c r="BT8" s="130"/>
      <c r="BU8" s="126"/>
      <c r="BV8" s="126"/>
      <c r="BW8" s="126"/>
      <c r="BX8" s="126"/>
      <c r="BY8" s="126"/>
      <c r="BZ8" s="130">
        <v>1</v>
      </c>
      <c r="CA8" s="126">
        <f t="shared" si="0"/>
        <v>5</v>
      </c>
      <c r="CB8" s="130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</row>
    <row r="9" spans="1:113" ht="13.2" x14ac:dyDescent="0.25">
      <c r="A9" s="129">
        <v>43591.294883391209</v>
      </c>
      <c r="B9" s="126" t="s">
        <v>293</v>
      </c>
      <c r="C9" s="126" t="s">
        <v>11</v>
      </c>
      <c r="D9" s="126" t="s">
        <v>19</v>
      </c>
      <c r="E9" s="126" t="s">
        <v>20</v>
      </c>
      <c r="F9" s="126" t="s">
        <v>24</v>
      </c>
      <c r="G9" s="126" t="s">
        <v>32</v>
      </c>
      <c r="H9" s="126" t="s">
        <v>38</v>
      </c>
      <c r="I9" s="126" t="s">
        <v>45</v>
      </c>
      <c r="J9" s="126" t="s">
        <v>49</v>
      </c>
      <c r="K9" s="126" t="s">
        <v>64</v>
      </c>
      <c r="L9" s="126" t="s">
        <v>63</v>
      </c>
      <c r="M9" s="130">
        <v>9</v>
      </c>
      <c r="N9" s="130">
        <v>4</v>
      </c>
      <c r="O9" s="130">
        <v>3</v>
      </c>
      <c r="P9" s="130">
        <v>5</v>
      </c>
      <c r="Q9" s="130">
        <v>5</v>
      </c>
      <c r="R9" s="130">
        <v>5</v>
      </c>
      <c r="S9" s="130">
        <v>5</v>
      </c>
      <c r="T9" s="130">
        <v>5</v>
      </c>
      <c r="U9" s="130">
        <v>5</v>
      </c>
      <c r="V9" s="130">
        <v>5</v>
      </c>
      <c r="W9" s="130">
        <v>5</v>
      </c>
      <c r="X9" s="130">
        <v>3</v>
      </c>
      <c r="Y9" s="130">
        <v>5</v>
      </c>
      <c r="Z9" s="130">
        <v>5</v>
      </c>
      <c r="AA9" s="130">
        <v>5</v>
      </c>
      <c r="AB9" s="130">
        <v>5</v>
      </c>
      <c r="AC9" s="130">
        <v>5</v>
      </c>
      <c r="AD9" s="130">
        <v>5</v>
      </c>
      <c r="AE9" s="130">
        <v>5</v>
      </c>
      <c r="AF9" s="130">
        <v>5</v>
      </c>
      <c r="AG9" s="130">
        <v>5</v>
      </c>
      <c r="AH9" s="130">
        <v>5</v>
      </c>
      <c r="AI9" s="126" t="s">
        <v>18</v>
      </c>
      <c r="AJ9" s="130">
        <v>4</v>
      </c>
      <c r="AK9" s="130">
        <v>5</v>
      </c>
      <c r="AL9" s="130">
        <v>2</v>
      </c>
      <c r="AM9" s="130">
        <v>5</v>
      </c>
      <c r="AN9" s="130">
        <v>5</v>
      </c>
      <c r="AO9" s="130">
        <v>5</v>
      </c>
      <c r="AP9" s="130">
        <v>5</v>
      </c>
      <c r="AQ9" s="130">
        <v>5</v>
      </c>
      <c r="AR9" s="130">
        <v>5</v>
      </c>
      <c r="AS9" s="130">
        <v>5</v>
      </c>
      <c r="AT9" s="130">
        <v>5</v>
      </c>
      <c r="AU9" s="130">
        <v>5</v>
      </c>
      <c r="AV9" s="130">
        <v>5</v>
      </c>
      <c r="AW9" s="130">
        <v>5</v>
      </c>
      <c r="AX9" s="130">
        <v>5</v>
      </c>
      <c r="AY9" s="130">
        <v>1</v>
      </c>
      <c r="AZ9" s="130">
        <v>2</v>
      </c>
      <c r="BA9" s="130">
        <v>1</v>
      </c>
      <c r="BB9" s="130">
        <v>1</v>
      </c>
      <c r="BC9" s="130">
        <v>5</v>
      </c>
      <c r="BD9" s="130">
        <v>5</v>
      </c>
      <c r="BE9" s="130">
        <v>15</v>
      </c>
      <c r="BF9" s="126" t="s">
        <v>292</v>
      </c>
      <c r="BG9" s="130">
        <v>15</v>
      </c>
      <c r="BH9" s="126"/>
      <c r="BI9" s="130">
        <v>1</v>
      </c>
      <c r="BJ9" s="126" t="s">
        <v>188</v>
      </c>
      <c r="BK9" s="126" t="s">
        <v>192</v>
      </c>
      <c r="BL9" s="126" t="s">
        <v>292</v>
      </c>
      <c r="BM9" s="126" t="s">
        <v>292</v>
      </c>
      <c r="BN9" s="130">
        <v>9</v>
      </c>
      <c r="BO9" s="126"/>
      <c r="BP9" s="126"/>
      <c r="BQ9" s="126"/>
      <c r="BR9" s="130"/>
      <c r="BS9" s="130"/>
      <c r="BT9" s="130"/>
      <c r="BU9" s="126"/>
      <c r="BV9" s="126"/>
      <c r="BW9" s="126"/>
      <c r="BX9" s="126"/>
      <c r="BY9" s="126"/>
      <c r="BZ9" s="130">
        <v>1</v>
      </c>
      <c r="CA9" s="126">
        <f t="shared" si="0"/>
        <v>5</v>
      </c>
      <c r="CB9" s="130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</row>
    <row r="10" spans="1:113" ht="13.2" x14ac:dyDescent="0.25">
      <c r="A10" s="129">
        <v>43591.298024143514</v>
      </c>
      <c r="B10" s="126" t="s">
        <v>293</v>
      </c>
      <c r="C10" s="126" t="s">
        <v>9</v>
      </c>
      <c r="D10" s="126" t="s">
        <v>19</v>
      </c>
      <c r="E10" s="126" t="s">
        <v>18</v>
      </c>
      <c r="F10" s="126" t="s">
        <v>26</v>
      </c>
      <c r="G10" s="126" t="s">
        <v>298</v>
      </c>
      <c r="H10" s="126" t="s">
        <v>39</v>
      </c>
      <c r="I10" s="126" t="s">
        <v>45</v>
      </c>
      <c r="J10" s="126" t="s">
        <v>49</v>
      </c>
      <c r="K10" s="126" t="s">
        <v>63</v>
      </c>
      <c r="L10" s="126" t="s">
        <v>63</v>
      </c>
      <c r="M10" s="130">
        <v>5</v>
      </c>
      <c r="N10" s="130">
        <v>4</v>
      </c>
      <c r="O10" s="130">
        <v>4</v>
      </c>
      <c r="P10" s="130">
        <v>5</v>
      </c>
      <c r="Q10" s="130">
        <v>2</v>
      </c>
      <c r="R10" s="130">
        <v>5</v>
      </c>
      <c r="S10" s="130">
        <v>5</v>
      </c>
      <c r="T10" s="130">
        <v>5</v>
      </c>
      <c r="U10" s="130">
        <v>4</v>
      </c>
      <c r="V10" s="130">
        <v>5</v>
      </c>
      <c r="W10" s="130">
        <v>5</v>
      </c>
      <c r="X10" s="130">
        <v>9</v>
      </c>
      <c r="Y10" s="130">
        <v>5</v>
      </c>
      <c r="Z10" s="130">
        <v>4</v>
      </c>
      <c r="AA10" s="130">
        <v>5</v>
      </c>
      <c r="AB10" s="130">
        <v>5</v>
      </c>
      <c r="AC10" s="130">
        <v>5</v>
      </c>
      <c r="AD10" s="130">
        <v>5</v>
      </c>
      <c r="AE10" s="130">
        <v>4</v>
      </c>
      <c r="AF10" s="130">
        <v>5</v>
      </c>
      <c r="AG10" s="130">
        <v>5</v>
      </c>
      <c r="AH10" s="130">
        <v>5</v>
      </c>
      <c r="AI10" s="126" t="s">
        <v>18</v>
      </c>
      <c r="AJ10" s="130">
        <v>5</v>
      </c>
      <c r="AK10" s="130">
        <v>5</v>
      </c>
      <c r="AL10" s="130">
        <v>2</v>
      </c>
      <c r="AM10" s="130">
        <v>5</v>
      </c>
      <c r="AN10" s="130">
        <v>5</v>
      </c>
      <c r="AO10" s="130">
        <v>4</v>
      </c>
      <c r="AP10" s="130">
        <v>4</v>
      </c>
      <c r="AQ10" s="130">
        <v>5</v>
      </c>
      <c r="AR10" s="130">
        <v>5</v>
      </c>
      <c r="AS10" s="130">
        <v>5</v>
      </c>
      <c r="AT10" s="130">
        <v>5</v>
      </c>
      <c r="AU10" s="130">
        <v>5</v>
      </c>
      <c r="AV10" s="130">
        <v>5</v>
      </c>
      <c r="AW10" s="130">
        <v>5</v>
      </c>
      <c r="AX10" s="130">
        <v>5</v>
      </c>
      <c r="AY10" s="130">
        <v>1</v>
      </c>
      <c r="AZ10" s="130">
        <v>2</v>
      </c>
      <c r="BA10" s="130">
        <v>1</v>
      </c>
      <c r="BB10" s="130">
        <v>9</v>
      </c>
      <c r="BC10" s="130">
        <v>5</v>
      </c>
      <c r="BD10" s="130">
        <v>5</v>
      </c>
      <c r="BE10" s="130">
        <v>5</v>
      </c>
      <c r="BF10" s="130">
        <v>0</v>
      </c>
      <c r="BG10" s="130">
        <v>1</v>
      </c>
      <c r="BH10" s="126" t="s">
        <v>299</v>
      </c>
      <c r="BI10" s="130">
        <v>9</v>
      </c>
      <c r="BJ10" s="126" t="s">
        <v>190</v>
      </c>
      <c r="BK10" s="126" t="s">
        <v>192</v>
      </c>
      <c r="BL10" s="126" t="s">
        <v>18</v>
      </c>
      <c r="BM10" s="126" t="s">
        <v>20</v>
      </c>
      <c r="BN10" s="130">
        <v>9</v>
      </c>
      <c r="BO10" s="126"/>
      <c r="BP10" s="126"/>
      <c r="BQ10" s="126"/>
      <c r="BR10" s="130"/>
      <c r="BS10" s="130"/>
      <c r="BT10" s="130"/>
      <c r="BU10" s="126"/>
      <c r="BV10" s="126"/>
      <c r="BW10" s="126"/>
      <c r="BX10" s="126"/>
      <c r="BY10" s="126"/>
      <c r="BZ10" s="130">
        <v>1</v>
      </c>
      <c r="CA10" s="126">
        <f t="shared" si="0"/>
        <v>5</v>
      </c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</row>
    <row r="11" spans="1:113" ht="13.2" x14ac:dyDescent="0.25">
      <c r="A11" s="129">
        <v>43591.301007048613</v>
      </c>
      <c r="B11" s="126" t="s">
        <v>291</v>
      </c>
      <c r="C11" s="126" t="s">
        <v>9</v>
      </c>
      <c r="D11" s="126" t="s">
        <v>19</v>
      </c>
      <c r="E11" s="126" t="s">
        <v>18</v>
      </c>
      <c r="F11" s="126" t="s">
        <v>24</v>
      </c>
      <c r="G11" s="126" t="s">
        <v>31</v>
      </c>
      <c r="H11" s="126" t="s">
        <v>39</v>
      </c>
      <c r="I11" s="126" t="s">
        <v>46</v>
      </c>
      <c r="J11" s="126" t="s">
        <v>21</v>
      </c>
      <c r="K11" s="126" t="s">
        <v>64</v>
      </c>
      <c r="L11" s="126" t="s">
        <v>55</v>
      </c>
      <c r="M11" s="130">
        <v>5</v>
      </c>
      <c r="N11" s="130">
        <v>5</v>
      </c>
      <c r="O11" s="130">
        <v>5</v>
      </c>
      <c r="P11" s="130">
        <v>5</v>
      </c>
      <c r="Q11" s="130">
        <v>5</v>
      </c>
      <c r="R11" s="130">
        <v>5</v>
      </c>
      <c r="S11" s="130">
        <v>5</v>
      </c>
      <c r="T11" s="130">
        <v>5</v>
      </c>
      <c r="U11" s="130">
        <v>5</v>
      </c>
      <c r="V11" s="130">
        <v>5</v>
      </c>
      <c r="W11" s="130">
        <v>5</v>
      </c>
      <c r="X11" s="130">
        <v>5</v>
      </c>
      <c r="Y11" s="130">
        <v>5</v>
      </c>
      <c r="Z11" s="130">
        <v>5</v>
      </c>
      <c r="AA11" s="130">
        <v>5</v>
      </c>
      <c r="AB11" s="130">
        <v>5</v>
      </c>
      <c r="AC11" s="130">
        <v>5</v>
      </c>
      <c r="AD11" s="130">
        <v>5</v>
      </c>
      <c r="AE11" s="130">
        <v>5</v>
      </c>
      <c r="AF11" s="130">
        <v>5</v>
      </c>
      <c r="AG11" s="130">
        <v>5</v>
      </c>
      <c r="AH11" s="130">
        <v>5</v>
      </c>
      <c r="AI11" s="126" t="s">
        <v>18</v>
      </c>
      <c r="AJ11" s="130">
        <v>5</v>
      </c>
      <c r="AK11" s="130">
        <v>5</v>
      </c>
      <c r="AL11" s="130">
        <v>1</v>
      </c>
      <c r="AM11" s="130">
        <v>5</v>
      </c>
      <c r="AN11" s="130">
        <v>5</v>
      </c>
      <c r="AO11" s="130">
        <v>5</v>
      </c>
      <c r="AP11" s="130">
        <v>5</v>
      </c>
      <c r="AQ11" s="130">
        <v>5</v>
      </c>
      <c r="AR11" s="130">
        <v>5</v>
      </c>
      <c r="AS11" s="130">
        <v>5</v>
      </c>
      <c r="AT11" s="130">
        <v>5</v>
      </c>
      <c r="AU11" s="130">
        <v>5</v>
      </c>
      <c r="AV11" s="130">
        <v>5</v>
      </c>
      <c r="AW11" s="130">
        <v>5</v>
      </c>
      <c r="AX11" s="130">
        <v>5</v>
      </c>
      <c r="AY11" s="130">
        <v>1</v>
      </c>
      <c r="AZ11" s="130">
        <v>2</v>
      </c>
      <c r="BA11" s="130">
        <v>1</v>
      </c>
      <c r="BB11" s="130">
        <v>1</v>
      </c>
      <c r="BC11" s="130">
        <v>5</v>
      </c>
      <c r="BD11" s="130">
        <v>5</v>
      </c>
      <c r="BE11" s="126" t="s">
        <v>292</v>
      </c>
      <c r="BF11" s="130">
        <v>0</v>
      </c>
      <c r="BG11" s="130">
        <v>0</v>
      </c>
      <c r="BH11" s="126"/>
      <c r="BI11" s="130">
        <v>1</v>
      </c>
      <c r="BJ11" s="126" t="s">
        <v>190</v>
      </c>
      <c r="BK11" s="126" t="s">
        <v>192</v>
      </c>
      <c r="BL11" s="126" t="s">
        <v>18</v>
      </c>
      <c r="BM11" s="126" t="s">
        <v>20</v>
      </c>
      <c r="BN11" s="130">
        <v>9</v>
      </c>
      <c r="BO11" s="126"/>
      <c r="BP11" s="126"/>
      <c r="BQ11" s="126"/>
      <c r="BR11" s="130"/>
      <c r="BS11" s="130"/>
      <c r="BT11" s="130"/>
      <c r="BU11" s="126"/>
      <c r="BV11" s="126"/>
      <c r="BW11" s="126"/>
      <c r="BX11" s="126"/>
      <c r="BY11" s="126"/>
      <c r="BZ11" s="130">
        <v>1</v>
      </c>
      <c r="CA11" s="126">
        <f t="shared" si="0"/>
        <v>5</v>
      </c>
      <c r="CB11" s="130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</row>
    <row r="12" spans="1:113" ht="13.2" x14ac:dyDescent="0.25">
      <c r="A12" s="129">
        <v>43591.318916782402</v>
      </c>
      <c r="B12" s="126" t="s">
        <v>293</v>
      </c>
      <c r="C12" s="126" t="s">
        <v>11</v>
      </c>
      <c r="D12" s="126" t="s">
        <v>19</v>
      </c>
      <c r="E12" s="126" t="s">
        <v>18</v>
      </c>
      <c r="F12" s="126" t="s">
        <v>26</v>
      </c>
      <c r="G12" s="126" t="s">
        <v>32</v>
      </c>
      <c r="H12" s="126" t="s">
        <v>39</v>
      </c>
      <c r="I12" s="126" t="s">
        <v>45</v>
      </c>
      <c r="J12" s="126" t="s">
        <v>49</v>
      </c>
      <c r="K12" s="126" t="s">
        <v>64</v>
      </c>
      <c r="L12" s="126" t="s">
        <v>63</v>
      </c>
      <c r="M12" s="130">
        <v>3</v>
      </c>
      <c r="N12" s="130">
        <v>4</v>
      </c>
      <c r="O12" s="130">
        <v>4</v>
      </c>
      <c r="P12" s="130">
        <v>5</v>
      </c>
      <c r="Q12" s="130">
        <v>9</v>
      </c>
      <c r="R12" s="130">
        <v>5</v>
      </c>
      <c r="S12" s="130">
        <v>5</v>
      </c>
      <c r="T12" s="130">
        <v>9</v>
      </c>
      <c r="U12" s="130">
        <v>5</v>
      </c>
      <c r="V12" s="130">
        <v>5</v>
      </c>
      <c r="W12" s="130">
        <v>5</v>
      </c>
      <c r="X12" s="130">
        <v>5</v>
      </c>
      <c r="Y12" s="130">
        <v>5</v>
      </c>
      <c r="Z12" s="130">
        <v>5</v>
      </c>
      <c r="AA12" s="130">
        <v>5</v>
      </c>
      <c r="AB12" s="130">
        <v>5</v>
      </c>
      <c r="AC12" s="130">
        <v>5</v>
      </c>
      <c r="AD12" s="130">
        <v>5</v>
      </c>
      <c r="AE12" s="130">
        <v>5</v>
      </c>
      <c r="AF12" s="130">
        <v>5</v>
      </c>
      <c r="AG12" s="130">
        <v>5</v>
      </c>
      <c r="AH12" s="130">
        <v>5</v>
      </c>
      <c r="AI12" s="126" t="s">
        <v>18</v>
      </c>
      <c r="AJ12" s="130">
        <v>5</v>
      </c>
      <c r="AK12" s="130">
        <v>5</v>
      </c>
      <c r="AL12" s="130">
        <v>1</v>
      </c>
      <c r="AM12" s="130">
        <v>5</v>
      </c>
      <c r="AN12" s="130">
        <v>5</v>
      </c>
      <c r="AO12" s="130">
        <v>5</v>
      </c>
      <c r="AP12" s="130">
        <v>5</v>
      </c>
      <c r="AQ12" s="130">
        <v>5</v>
      </c>
      <c r="AR12" s="130">
        <v>5</v>
      </c>
      <c r="AS12" s="130">
        <v>5</v>
      </c>
      <c r="AT12" s="130">
        <v>5</v>
      </c>
      <c r="AU12" s="130">
        <v>5</v>
      </c>
      <c r="AV12" s="130">
        <v>5</v>
      </c>
      <c r="AW12" s="130">
        <v>5</v>
      </c>
      <c r="AX12" s="130">
        <v>5</v>
      </c>
      <c r="AY12" s="130">
        <v>1</v>
      </c>
      <c r="AZ12" s="130">
        <v>2</v>
      </c>
      <c r="BA12" s="130">
        <v>1</v>
      </c>
      <c r="BB12" s="130">
        <v>1</v>
      </c>
      <c r="BC12" s="130">
        <v>5</v>
      </c>
      <c r="BD12" s="130">
        <v>5</v>
      </c>
      <c r="BE12" s="126" t="s">
        <v>292</v>
      </c>
      <c r="BF12" s="130">
        <v>0</v>
      </c>
      <c r="BG12" s="130">
        <v>0</v>
      </c>
      <c r="BH12" s="126"/>
      <c r="BI12" s="130">
        <v>9</v>
      </c>
      <c r="BJ12" s="126" t="s">
        <v>190</v>
      </c>
      <c r="BK12" s="126" t="s">
        <v>194</v>
      </c>
      <c r="BL12" s="126" t="s">
        <v>18</v>
      </c>
      <c r="BM12" s="126" t="s">
        <v>20</v>
      </c>
      <c r="BN12" s="130">
        <v>9</v>
      </c>
      <c r="BO12" s="126"/>
      <c r="BP12" s="126"/>
      <c r="BQ12" s="126"/>
      <c r="BR12" s="130"/>
      <c r="BS12" s="130"/>
      <c r="BT12" s="130"/>
      <c r="BU12" s="126"/>
      <c r="BV12" s="126"/>
      <c r="BW12" s="126"/>
      <c r="BX12" s="126"/>
      <c r="BY12" s="126"/>
      <c r="BZ12" s="130">
        <v>1</v>
      </c>
      <c r="CA12" s="126">
        <f t="shared" si="0"/>
        <v>5</v>
      </c>
      <c r="CB12" s="130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</row>
    <row r="13" spans="1:113" ht="13.5" customHeight="1" x14ac:dyDescent="0.25">
      <c r="A13" s="129">
        <v>43591.320844074071</v>
      </c>
      <c r="B13" s="126" t="s">
        <v>293</v>
      </c>
      <c r="C13" s="126" t="s">
        <v>9</v>
      </c>
      <c r="D13" s="126" t="s">
        <v>16</v>
      </c>
      <c r="E13" s="126" t="s">
        <v>20</v>
      </c>
      <c r="F13" s="126" t="s">
        <v>26</v>
      </c>
      <c r="G13" s="126" t="s">
        <v>31</v>
      </c>
      <c r="H13" s="126" t="s">
        <v>38</v>
      </c>
      <c r="I13" s="126" t="s">
        <v>45</v>
      </c>
      <c r="J13" s="126" t="s">
        <v>47</v>
      </c>
      <c r="K13" s="126" t="s">
        <v>63</v>
      </c>
      <c r="L13" s="126" t="s">
        <v>63</v>
      </c>
      <c r="M13" s="130">
        <v>9</v>
      </c>
      <c r="N13" s="130">
        <v>3</v>
      </c>
      <c r="O13" s="130">
        <v>3</v>
      </c>
      <c r="P13" s="130">
        <v>9</v>
      </c>
      <c r="Q13" s="130">
        <v>9</v>
      </c>
      <c r="R13" s="130">
        <v>9</v>
      </c>
      <c r="S13" s="130">
        <v>5</v>
      </c>
      <c r="T13" s="130">
        <v>5</v>
      </c>
      <c r="U13" s="130">
        <v>5</v>
      </c>
      <c r="V13" s="130">
        <v>5</v>
      </c>
      <c r="W13" s="130">
        <v>5</v>
      </c>
      <c r="X13" s="130">
        <v>3</v>
      </c>
      <c r="Y13" s="130">
        <v>5</v>
      </c>
      <c r="Z13" s="130">
        <v>5</v>
      </c>
      <c r="AA13" s="130">
        <v>5</v>
      </c>
      <c r="AB13" s="130">
        <v>5</v>
      </c>
      <c r="AC13" s="130">
        <v>5</v>
      </c>
      <c r="AD13" s="130">
        <v>5</v>
      </c>
      <c r="AE13" s="130">
        <v>5</v>
      </c>
      <c r="AF13" s="130">
        <v>5</v>
      </c>
      <c r="AG13" s="130">
        <v>5</v>
      </c>
      <c r="AH13" s="130">
        <v>5</v>
      </c>
      <c r="AI13" s="126" t="s">
        <v>20</v>
      </c>
      <c r="AJ13" s="130">
        <v>9</v>
      </c>
      <c r="AK13" s="130">
        <v>3</v>
      </c>
      <c r="AL13" s="130">
        <v>9</v>
      </c>
      <c r="AM13" s="130">
        <v>9</v>
      </c>
      <c r="AN13" s="130">
        <v>9</v>
      </c>
      <c r="AO13" s="130">
        <v>9</v>
      </c>
      <c r="AP13" s="130">
        <v>5</v>
      </c>
      <c r="AQ13" s="130">
        <v>5</v>
      </c>
      <c r="AR13" s="130">
        <v>5</v>
      </c>
      <c r="AS13" s="130">
        <v>5</v>
      </c>
      <c r="AT13" s="130">
        <v>5</v>
      </c>
      <c r="AU13" s="130">
        <v>5</v>
      </c>
      <c r="AV13" s="130">
        <v>5</v>
      </c>
      <c r="AW13" s="130">
        <v>5</v>
      </c>
      <c r="AX13" s="130">
        <v>5</v>
      </c>
      <c r="AY13" s="130">
        <v>9</v>
      </c>
      <c r="AZ13" s="130">
        <v>9</v>
      </c>
      <c r="BA13" s="130">
        <v>9</v>
      </c>
      <c r="BB13" s="130">
        <v>9</v>
      </c>
      <c r="BC13" s="130">
        <v>5</v>
      </c>
      <c r="BD13" s="130">
        <v>5</v>
      </c>
      <c r="BE13" s="126" t="s">
        <v>292</v>
      </c>
      <c r="BF13" s="126" t="s">
        <v>292</v>
      </c>
      <c r="BG13" s="126" t="s">
        <v>292</v>
      </c>
      <c r="BH13" s="126"/>
      <c r="BI13" s="130">
        <v>9</v>
      </c>
      <c r="BJ13" s="126" t="s">
        <v>188</v>
      </c>
      <c r="BK13" s="126" t="s">
        <v>192</v>
      </c>
      <c r="BL13" s="126" t="s">
        <v>18</v>
      </c>
      <c r="BM13" s="126" t="s">
        <v>20</v>
      </c>
      <c r="BN13" s="130">
        <v>9</v>
      </c>
      <c r="BO13" s="126"/>
      <c r="BP13" s="126"/>
      <c r="BQ13" s="126"/>
      <c r="BR13" s="130"/>
      <c r="BS13" s="130"/>
      <c r="BT13" s="130"/>
      <c r="BU13" s="126"/>
      <c r="BV13" s="126"/>
      <c r="BW13" s="126"/>
      <c r="BX13" s="126"/>
      <c r="BY13" s="126"/>
      <c r="BZ13" s="130">
        <v>1</v>
      </c>
      <c r="CA13" s="126">
        <f t="shared" si="0"/>
        <v>5</v>
      </c>
      <c r="CB13" s="130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</row>
    <row r="14" spans="1:113" ht="13.2" x14ac:dyDescent="0.25">
      <c r="A14" s="129">
        <v>43591.323160509259</v>
      </c>
      <c r="B14" s="126" t="s">
        <v>293</v>
      </c>
      <c r="C14" s="126" t="s">
        <v>9</v>
      </c>
      <c r="D14" s="126" t="s">
        <v>19</v>
      </c>
      <c r="E14" s="126" t="s">
        <v>18</v>
      </c>
      <c r="F14" s="126" t="s">
        <v>26</v>
      </c>
      <c r="G14" s="126" t="s">
        <v>32</v>
      </c>
      <c r="H14" s="126" t="s">
        <v>39</v>
      </c>
      <c r="I14" s="126" t="s">
        <v>45</v>
      </c>
      <c r="J14" s="126" t="s">
        <v>49</v>
      </c>
      <c r="K14" s="126" t="s">
        <v>64</v>
      </c>
      <c r="L14" s="126" t="s">
        <v>64</v>
      </c>
      <c r="M14" s="130">
        <v>5</v>
      </c>
      <c r="N14" s="130">
        <v>4</v>
      </c>
      <c r="O14" s="130">
        <v>3</v>
      </c>
      <c r="P14" s="130">
        <v>5</v>
      </c>
      <c r="Q14" s="130">
        <v>5</v>
      </c>
      <c r="R14" s="130">
        <v>5</v>
      </c>
      <c r="S14" s="130">
        <v>5</v>
      </c>
      <c r="T14" s="130">
        <v>4</v>
      </c>
      <c r="U14" s="130">
        <v>5</v>
      </c>
      <c r="V14" s="130">
        <v>5</v>
      </c>
      <c r="W14" s="130">
        <v>5</v>
      </c>
      <c r="X14" s="130">
        <v>9</v>
      </c>
      <c r="Y14" s="130">
        <v>5</v>
      </c>
      <c r="Z14" s="130">
        <v>5</v>
      </c>
      <c r="AA14" s="130">
        <v>5</v>
      </c>
      <c r="AB14" s="130">
        <v>5</v>
      </c>
      <c r="AC14" s="130">
        <v>5</v>
      </c>
      <c r="AD14" s="130">
        <v>5</v>
      </c>
      <c r="AE14" s="130">
        <v>5</v>
      </c>
      <c r="AF14" s="130">
        <v>5</v>
      </c>
      <c r="AG14" s="130">
        <v>4</v>
      </c>
      <c r="AH14" s="130">
        <v>5</v>
      </c>
      <c r="AI14" s="126" t="s">
        <v>18</v>
      </c>
      <c r="AJ14" s="130">
        <v>5</v>
      </c>
      <c r="AK14" s="130">
        <v>5</v>
      </c>
      <c r="AL14" s="130">
        <v>3</v>
      </c>
      <c r="AM14" s="130">
        <v>5</v>
      </c>
      <c r="AN14" s="130">
        <v>5</v>
      </c>
      <c r="AO14" s="130">
        <v>5</v>
      </c>
      <c r="AP14" s="130">
        <v>4</v>
      </c>
      <c r="AQ14" s="130">
        <v>5</v>
      </c>
      <c r="AR14" s="130">
        <v>5</v>
      </c>
      <c r="AS14" s="130">
        <v>4</v>
      </c>
      <c r="AT14" s="130">
        <v>4</v>
      </c>
      <c r="AU14" s="130">
        <v>5</v>
      </c>
      <c r="AV14" s="130">
        <v>5</v>
      </c>
      <c r="AW14" s="130">
        <v>5</v>
      </c>
      <c r="AX14" s="130">
        <v>5</v>
      </c>
      <c r="AY14" s="130">
        <v>1</v>
      </c>
      <c r="AZ14" s="130">
        <v>2</v>
      </c>
      <c r="BA14" s="130">
        <v>1</v>
      </c>
      <c r="BB14" s="130">
        <v>1</v>
      </c>
      <c r="BC14" s="130">
        <v>4</v>
      </c>
      <c r="BD14" s="130">
        <v>5</v>
      </c>
      <c r="BE14" s="130">
        <v>4</v>
      </c>
      <c r="BF14" s="130">
        <v>0</v>
      </c>
      <c r="BG14" s="130">
        <v>0</v>
      </c>
      <c r="BH14" s="126"/>
      <c r="BI14" s="130">
        <v>1</v>
      </c>
      <c r="BJ14" s="126" t="s">
        <v>190</v>
      </c>
      <c r="BK14" s="126" t="s">
        <v>192</v>
      </c>
      <c r="BL14" s="126" t="s">
        <v>18</v>
      </c>
      <c r="BM14" s="126" t="s">
        <v>20</v>
      </c>
      <c r="BN14" s="130">
        <v>9</v>
      </c>
      <c r="BO14" s="126"/>
      <c r="BP14" s="126"/>
      <c r="BQ14" s="126"/>
      <c r="BR14" s="130"/>
      <c r="BS14" s="130"/>
      <c r="BT14" s="130"/>
      <c r="BU14" s="126"/>
      <c r="BV14" s="126"/>
      <c r="BW14" s="126"/>
      <c r="BX14" s="126"/>
      <c r="BY14" s="126"/>
      <c r="BZ14" s="130">
        <v>1</v>
      </c>
      <c r="CA14" s="126">
        <f t="shared" si="0"/>
        <v>5</v>
      </c>
      <c r="CB14" s="130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</row>
    <row r="15" spans="1:113" ht="13.5" customHeight="1" x14ac:dyDescent="0.25">
      <c r="A15" s="129">
        <v>43591.325332905093</v>
      </c>
      <c r="B15" s="126" t="s">
        <v>293</v>
      </c>
      <c r="C15" s="126" t="s">
        <v>9</v>
      </c>
      <c r="D15" s="126" t="s">
        <v>300</v>
      </c>
      <c r="E15" s="126" t="s">
        <v>20</v>
      </c>
      <c r="F15" s="126" t="s">
        <v>26</v>
      </c>
      <c r="G15" s="126" t="s">
        <v>31</v>
      </c>
      <c r="H15" s="126" t="s">
        <v>38</v>
      </c>
      <c r="I15" s="126" t="s">
        <v>48</v>
      </c>
      <c r="J15" s="126" t="s">
        <v>53</v>
      </c>
      <c r="K15" s="126" t="s">
        <v>63</v>
      </c>
      <c r="L15" s="126" t="s">
        <v>63</v>
      </c>
      <c r="M15" s="130">
        <v>5</v>
      </c>
      <c r="N15" s="130">
        <v>3</v>
      </c>
      <c r="O15" s="130">
        <v>9</v>
      </c>
      <c r="P15" s="130">
        <v>5</v>
      </c>
      <c r="Q15" s="130">
        <v>1</v>
      </c>
      <c r="R15" s="130">
        <v>5</v>
      </c>
      <c r="S15" s="130">
        <v>9</v>
      </c>
      <c r="T15" s="130">
        <v>1</v>
      </c>
      <c r="U15" s="130">
        <v>5</v>
      </c>
      <c r="V15" s="130">
        <v>5</v>
      </c>
      <c r="W15" s="130">
        <v>5</v>
      </c>
      <c r="X15" s="130">
        <v>3</v>
      </c>
      <c r="Y15" s="130">
        <v>4</v>
      </c>
      <c r="Z15" s="130">
        <v>5</v>
      </c>
      <c r="AA15" s="130">
        <v>5</v>
      </c>
      <c r="AB15" s="130">
        <v>5</v>
      </c>
      <c r="AC15" s="130">
        <v>3</v>
      </c>
      <c r="AD15" s="130">
        <v>5</v>
      </c>
      <c r="AE15" s="130">
        <v>5</v>
      </c>
      <c r="AF15" s="130">
        <v>3</v>
      </c>
      <c r="AG15" s="130">
        <v>4</v>
      </c>
      <c r="AH15" s="130">
        <v>5</v>
      </c>
      <c r="AI15" s="126" t="s">
        <v>20</v>
      </c>
      <c r="AJ15" s="130">
        <v>9</v>
      </c>
      <c r="AK15" s="130">
        <v>5</v>
      </c>
      <c r="AL15" s="130">
        <v>1</v>
      </c>
      <c r="AM15" s="130">
        <v>3</v>
      </c>
      <c r="AN15" s="130">
        <v>3</v>
      </c>
      <c r="AO15" s="130">
        <v>5</v>
      </c>
      <c r="AP15" s="130">
        <v>5</v>
      </c>
      <c r="AQ15" s="130">
        <v>3</v>
      </c>
      <c r="AR15" s="130">
        <v>5</v>
      </c>
      <c r="AS15" s="130">
        <v>5</v>
      </c>
      <c r="AT15" s="130">
        <v>5</v>
      </c>
      <c r="AU15" s="130">
        <v>5</v>
      </c>
      <c r="AV15" s="130">
        <v>5</v>
      </c>
      <c r="AW15" s="130">
        <v>5</v>
      </c>
      <c r="AX15" s="130">
        <v>5</v>
      </c>
      <c r="AY15" s="130">
        <v>9</v>
      </c>
      <c r="AZ15" s="130">
        <v>9</v>
      </c>
      <c r="BA15" s="130">
        <v>9</v>
      </c>
      <c r="BB15" s="130">
        <v>9</v>
      </c>
      <c r="BC15" s="130">
        <v>9</v>
      </c>
      <c r="BD15" s="130">
        <v>9</v>
      </c>
      <c r="BE15" s="126" t="s">
        <v>292</v>
      </c>
      <c r="BF15" s="126" t="s">
        <v>292</v>
      </c>
      <c r="BG15" s="126" t="s">
        <v>292</v>
      </c>
      <c r="BH15" s="126"/>
      <c r="BI15" s="130">
        <v>1</v>
      </c>
      <c r="BJ15" s="126" t="s">
        <v>190</v>
      </c>
      <c r="BK15" s="126" t="s">
        <v>193</v>
      </c>
      <c r="BL15" s="126" t="s">
        <v>18</v>
      </c>
      <c r="BM15" s="126" t="s">
        <v>20</v>
      </c>
      <c r="BN15" s="130">
        <v>9</v>
      </c>
      <c r="BO15" s="126"/>
      <c r="BP15" s="126"/>
      <c r="BQ15" s="126"/>
      <c r="BR15" s="130"/>
      <c r="BS15" s="130"/>
      <c r="BT15" s="130"/>
      <c r="BU15" s="126"/>
      <c r="BV15" s="126"/>
      <c r="BW15" s="126"/>
      <c r="BX15" s="126"/>
      <c r="BY15" s="126"/>
      <c r="BZ15" s="130">
        <v>1</v>
      </c>
      <c r="CA15" s="126">
        <f t="shared" si="0"/>
        <v>5</v>
      </c>
      <c r="CB15" s="130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</row>
    <row r="16" spans="1:113" ht="13.2" x14ac:dyDescent="0.25">
      <c r="A16" s="129">
        <v>43591.327362384254</v>
      </c>
      <c r="B16" s="126" t="s">
        <v>291</v>
      </c>
      <c r="C16" s="126" t="s">
        <v>9</v>
      </c>
      <c r="D16" s="126" t="s">
        <v>19</v>
      </c>
      <c r="E16" s="126" t="s">
        <v>20</v>
      </c>
      <c r="F16" s="126" t="s">
        <v>26</v>
      </c>
      <c r="G16" s="126" t="s">
        <v>28</v>
      </c>
      <c r="H16" s="126" t="s">
        <v>38</v>
      </c>
      <c r="I16" s="126" t="s">
        <v>45</v>
      </c>
      <c r="J16" s="126" t="s">
        <v>47</v>
      </c>
      <c r="K16" s="126" t="s">
        <v>64</v>
      </c>
      <c r="L16" s="126" t="s">
        <v>64</v>
      </c>
      <c r="M16" s="130">
        <v>5</v>
      </c>
      <c r="N16" s="130">
        <v>4</v>
      </c>
      <c r="O16" s="130">
        <v>1</v>
      </c>
      <c r="P16" s="130">
        <v>5</v>
      </c>
      <c r="Q16" s="130">
        <v>5</v>
      </c>
      <c r="R16" s="130">
        <v>1</v>
      </c>
      <c r="S16" s="130">
        <v>5</v>
      </c>
      <c r="T16" s="130">
        <v>1</v>
      </c>
      <c r="U16" s="130">
        <v>9</v>
      </c>
      <c r="V16" s="130">
        <v>1</v>
      </c>
      <c r="W16" s="130">
        <v>1</v>
      </c>
      <c r="X16" s="130">
        <v>1</v>
      </c>
      <c r="Y16" s="130">
        <v>5</v>
      </c>
      <c r="Z16" s="130">
        <v>5</v>
      </c>
      <c r="AA16" s="130">
        <v>5</v>
      </c>
      <c r="AB16" s="130">
        <v>5</v>
      </c>
      <c r="AC16" s="130">
        <v>5</v>
      </c>
      <c r="AD16" s="130">
        <v>5</v>
      </c>
      <c r="AE16" s="130">
        <v>5</v>
      </c>
      <c r="AF16" s="130">
        <v>5</v>
      </c>
      <c r="AG16" s="130">
        <v>5</v>
      </c>
      <c r="AH16" s="130">
        <v>5</v>
      </c>
      <c r="AI16" s="126" t="s">
        <v>20</v>
      </c>
      <c r="AJ16" s="130">
        <v>1</v>
      </c>
      <c r="AK16" s="130">
        <v>1</v>
      </c>
      <c r="AL16" s="130">
        <v>1</v>
      </c>
      <c r="AM16" s="130">
        <v>5</v>
      </c>
      <c r="AN16" s="130">
        <v>5</v>
      </c>
      <c r="AO16" s="130">
        <v>4</v>
      </c>
      <c r="AP16" s="130">
        <v>5</v>
      </c>
      <c r="AQ16" s="130">
        <v>5</v>
      </c>
      <c r="AR16" s="130">
        <v>5</v>
      </c>
      <c r="AS16" s="130">
        <v>1</v>
      </c>
      <c r="AT16" s="130">
        <v>5</v>
      </c>
      <c r="AU16" s="130">
        <v>5</v>
      </c>
      <c r="AV16" s="130">
        <v>5</v>
      </c>
      <c r="AW16" s="130">
        <v>5</v>
      </c>
      <c r="AX16" s="130">
        <v>5</v>
      </c>
      <c r="AY16" s="130">
        <v>2</v>
      </c>
      <c r="AZ16" s="130">
        <v>1</v>
      </c>
      <c r="BA16" s="130">
        <v>1</v>
      </c>
      <c r="BB16" s="130">
        <v>2</v>
      </c>
      <c r="BC16" s="130">
        <v>5</v>
      </c>
      <c r="BD16" s="130">
        <v>5</v>
      </c>
      <c r="BE16" s="130">
        <v>4</v>
      </c>
      <c r="BF16" s="130">
        <v>1</v>
      </c>
      <c r="BG16" s="130">
        <v>1</v>
      </c>
      <c r="BH16" s="126"/>
      <c r="BI16" s="130">
        <v>1</v>
      </c>
      <c r="BJ16" s="126" t="s">
        <v>189</v>
      </c>
      <c r="BK16" s="126" t="s">
        <v>194</v>
      </c>
      <c r="BL16" s="126" t="s">
        <v>20</v>
      </c>
      <c r="BM16" s="126" t="s">
        <v>292</v>
      </c>
      <c r="BN16" s="130">
        <v>9</v>
      </c>
      <c r="BO16" s="126"/>
      <c r="BP16" s="126"/>
      <c r="BQ16" s="126"/>
      <c r="BR16" s="130"/>
      <c r="BS16" s="130"/>
      <c r="BT16" s="130"/>
      <c r="BU16" s="126"/>
      <c r="BV16" s="126"/>
      <c r="BW16" s="126"/>
      <c r="BX16" s="126"/>
      <c r="BY16" s="126"/>
      <c r="BZ16" s="130">
        <v>1</v>
      </c>
      <c r="CA16" s="126">
        <f t="shared" si="0"/>
        <v>5</v>
      </c>
      <c r="CB16" s="130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</row>
    <row r="17" spans="1:113" ht="13.2" x14ac:dyDescent="0.25">
      <c r="A17" s="129">
        <v>43591.33093575231</v>
      </c>
      <c r="B17" s="126" t="s">
        <v>13</v>
      </c>
      <c r="C17" s="126" t="s">
        <v>9</v>
      </c>
      <c r="D17" s="126" t="s">
        <v>16</v>
      </c>
      <c r="E17" s="126" t="s">
        <v>20</v>
      </c>
      <c r="F17" s="126" t="s">
        <v>26</v>
      </c>
      <c r="G17" s="126" t="s">
        <v>298</v>
      </c>
      <c r="H17" s="126" t="s">
        <v>38</v>
      </c>
      <c r="I17" s="126" t="s">
        <v>45</v>
      </c>
      <c r="J17" s="126" t="s">
        <v>53</v>
      </c>
      <c r="K17" s="126" t="s">
        <v>297</v>
      </c>
      <c r="L17" s="126" t="s">
        <v>61</v>
      </c>
      <c r="M17" s="130">
        <v>5</v>
      </c>
      <c r="N17" s="130">
        <v>2</v>
      </c>
      <c r="O17" s="130">
        <v>2</v>
      </c>
      <c r="P17" s="130">
        <v>4</v>
      </c>
      <c r="Q17" s="130">
        <v>4</v>
      </c>
      <c r="R17" s="130">
        <v>9</v>
      </c>
      <c r="S17" s="130">
        <v>5</v>
      </c>
      <c r="T17" s="130">
        <v>5</v>
      </c>
      <c r="U17" s="130">
        <v>9</v>
      </c>
      <c r="V17" s="130">
        <v>9</v>
      </c>
      <c r="W17" s="130">
        <v>9</v>
      </c>
      <c r="X17" s="130">
        <v>5</v>
      </c>
      <c r="Y17" s="130">
        <v>5</v>
      </c>
      <c r="Z17" s="130">
        <v>5</v>
      </c>
      <c r="AA17" s="130">
        <v>9</v>
      </c>
      <c r="AB17" s="130">
        <v>5</v>
      </c>
      <c r="AC17" s="130">
        <v>5</v>
      </c>
      <c r="AD17" s="130">
        <v>5</v>
      </c>
      <c r="AE17" s="130">
        <v>5</v>
      </c>
      <c r="AF17" s="130">
        <v>5</v>
      </c>
      <c r="AG17" s="130">
        <v>5</v>
      </c>
      <c r="AH17" s="130">
        <v>5</v>
      </c>
      <c r="AI17" s="126" t="s">
        <v>20</v>
      </c>
      <c r="AJ17" s="130">
        <v>9</v>
      </c>
      <c r="AK17" s="130">
        <v>5</v>
      </c>
      <c r="AL17" s="130">
        <v>1</v>
      </c>
      <c r="AM17" s="130">
        <v>5</v>
      </c>
      <c r="AN17" s="130">
        <v>5</v>
      </c>
      <c r="AO17" s="130">
        <v>5</v>
      </c>
      <c r="AP17" s="130">
        <v>5</v>
      </c>
      <c r="AQ17" s="130">
        <v>5</v>
      </c>
      <c r="AR17" s="130">
        <v>5</v>
      </c>
      <c r="AS17" s="130">
        <v>5</v>
      </c>
      <c r="AT17" s="130">
        <v>9</v>
      </c>
      <c r="AU17" s="130">
        <v>9</v>
      </c>
      <c r="AV17" s="130">
        <v>9</v>
      </c>
      <c r="AW17" s="130">
        <v>9</v>
      </c>
      <c r="AX17" s="130">
        <v>9</v>
      </c>
      <c r="AY17" s="130">
        <v>1</v>
      </c>
      <c r="AZ17" s="130">
        <v>2</v>
      </c>
      <c r="BA17" s="130">
        <v>1</v>
      </c>
      <c r="BB17" s="130">
        <v>1</v>
      </c>
      <c r="BC17" s="130">
        <v>5</v>
      </c>
      <c r="BD17" s="130">
        <v>5</v>
      </c>
      <c r="BE17" s="130">
        <v>2</v>
      </c>
      <c r="BF17" s="130">
        <v>0</v>
      </c>
      <c r="BG17" s="130">
        <v>3</v>
      </c>
      <c r="BH17" s="126"/>
      <c r="BI17" s="130">
        <v>9</v>
      </c>
      <c r="BJ17" s="126" t="s">
        <v>190</v>
      </c>
      <c r="BK17" s="126" t="s">
        <v>292</v>
      </c>
      <c r="BL17" s="126" t="s">
        <v>20</v>
      </c>
      <c r="BM17" s="126" t="s">
        <v>292</v>
      </c>
      <c r="BN17" s="130">
        <v>9</v>
      </c>
      <c r="BO17" s="126"/>
      <c r="BP17" s="126"/>
      <c r="BQ17" s="126"/>
      <c r="BR17" s="130"/>
      <c r="BS17" s="130"/>
      <c r="BT17" s="130"/>
      <c r="BU17" s="126"/>
      <c r="BV17" s="126"/>
      <c r="BW17" s="126"/>
      <c r="BX17" s="126"/>
      <c r="BY17" s="126"/>
      <c r="BZ17" s="130">
        <v>1</v>
      </c>
      <c r="CA17" s="126">
        <f t="shared" si="0"/>
        <v>5</v>
      </c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</row>
    <row r="18" spans="1:113" ht="13.2" x14ac:dyDescent="0.25">
      <c r="A18" s="129">
        <v>43591.333019016209</v>
      </c>
      <c r="B18" s="126" t="s">
        <v>301</v>
      </c>
      <c r="C18" s="126" t="s">
        <v>9</v>
      </c>
      <c r="D18" s="126" t="s">
        <v>19</v>
      </c>
      <c r="E18" s="126" t="s">
        <v>18</v>
      </c>
      <c r="F18" s="126" t="s">
        <v>26</v>
      </c>
      <c r="G18" s="126" t="s">
        <v>32</v>
      </c>
      <c r="H18" s="126" t="s">
        <v>21</v>
      </c>
      <c r="I18" s="126" t="s">
        <v>302</v>
      </c>
      <c r="J18" s="126" t="s">
        <v>49</v>
      </c>
      <c r="K18" s="126" t="s">
        <v>63</v>
      </c>
      <c r="L18" s="126" t="s">
        <v>63</v>
      </c>
      <c r="M18" s="130">
        <v>5</v>
      </c>
      <c r="N18" s="130">
        <v>5</v>
      </c>
      <c r="O18" s="130">
        <v>2</v>
      </c>
      <c r="P18" s="130">
        <v>5</v>
      </c>
      <c r="Q18" s="130">
        <v>9</v>
      </c>
      <c r="R18" s="130">
        <v>9</v>
      </c>
      <c r="S18" s="130">
        <v>5</v>
      </c>
      <c r="T18" s="130">
        <v>5</v>
      </c>
      <c r="U18" s="130">
        <v>9</v>
      </c>
      <c r="V18" s="130">
        <v>9</v>
      </c>
      <c r="W18" s="130">
        <v>5</v>
      </c>
      <c r="X18" s="130">
        <v>5</v>
      </c>
      <c r="Y18" s="130">
        <v>5</v>
      </c>
      <c r="Z18" s="130">
        <v>5</v>
      </c>
      <c r="AA18" s="130">
        <v>5</v>
      </c>
      <c r="AB18" s="130">
        <v>5</v>
      </c>
      <c r="AC18" s="130">
        <v>5</v>
      </c>
      <c r="AD18" s="130">
        <v>5</v>
      </c>
      <c r="AE18" s="130">
        <v>5</v>
      </c>
      <c r="AF18" s="130">
        <v>5</v>
      </c>
      <c r="AG18" s="130">
        <v>5</v>
      </c>
      <c r="AH18" s="130">
        <v>5</v>
      </c>
      <c r="AI18" s="126" t="s">
        <v>20</v>
      </c>
      <c r="AJ18" s="130">
        <v>9</v>
      </c>
      <c r="AK18" s="130">
        <v>5</v>
      </c>
      <c r="AL18" s="130">
        <v>1</v>
      </c>
      <c r="AM18" s="130">
        <v>5</v>
      </c>
      <c r="AN18" s="130">
        <v>5</v>
      </c>
      <c r="AO18" s="130">
        <v>5</v>
      </c>
      <c r="AP18" s="130">
        <v>5</v>
      </c>
      <c r="AQ18" s="130">
        <v>5</v>
      </c>
      <c r="AR18" s="130">
        <v>5</v>
      </c>
      <c r="AS18" s="130">
        <v>5</v>
      </c>
      <c r="AT18" s="130">
        <v>5</v>
      </c>
      <c r="AU18" s="130">
        <v>5</v>
      </c>
      <c r="AV18" s="130">
        <v>5</v>
      </c>
      <c r="AW18" s="130">
        <v>5</v>
      </c>
      <c r="AX18" s="130">
        <v>5</v>
      </c>
      <c r="AY18" s="130">
        <v>1</v>
      </c>
      <c r="AZ18" s="130">
        <v>2</v>
      </c>
      <c r="BA18" s="130">
        <v>1</v>
      </c>
      <c r="BB18" s="130">
        <v>1</v>
      </c>
      <c r="BC18" s="130">
        <v>5</v>
      </c>
      <c r="BD18" s="130">
        <v>5</v>
      </c>
      <c r="BE18" s="130">
        <v>5</v>
      </c>
      <c r="BF18" s="126" t="s">
        <v>292</v>
      </c>
      <c r="BG18" s="130">
        <v>10</v>
      </c>
      <c r="BH18" s="126"/>
      <c r="BI18" s="130">
        <v>1</v>
      </c>
      <c r="BJ18" s="126" t="s">
        <v>188</v>
      </c>
      <c r="BK18" s="126" t="s">
        <v>192</v>
      </c>
      <c r="BL18" s="126" t="s">
        <v>20</v>
      </c>
      <c r="BM18" s="126" t="s">
        <v>20</v>
      </c>
      <c r="BN18" s="130">
        <v>9</v>
      </c>
      <c r="BO18" s="126"/>
      <c r="BP18" s="126"/>
      <c r="BQ18" s="126"/>
      <c r="BR18" s="130"/>
      <c r="BS18" s="130"/>
      <c r="BT18" s="130"/>
      <c r="BU18" s="126"/>
      <c r="BV18" s="126"/>
      <c r="BW18" s="126"/>
      <c r="BX18" s="126"/>
      <c r="BY18" s="126"/>
      <c r="BZ18" s="130">
        <v>1</v>
      </c>
      <c r="CA18" s="126">
        <f t="shared" si="0"/>
        <v>5</v>
      </c>
      <c r="CB18" s="130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</row>
    <row r="19" spans="1:113" ht="13.2" x14ac:dyDescent="0.25">
      <c r="A19" s="129">
        <v>43591.335308564812</v>
      </c>
      <c r="B19" s="126" t="s">
        <v>291</v>
      </c>
      <c r="C19" s="126" t="s">
        <v>11</v>
      </c>
      <c r="D19" s="126" t="s">
        <v>19</v>
      </c>
      <c r="E19" s="126" t="s">
        <v>18</v>
      </c>
      <c r="F19" s="126" t="s">
        <v>24</v>
      </c>
      <c r="G19" s="126" t="s">
        <v>31</v>
      </c>
      <c r="H19" s="126" t="s">
        <v>39</v>
      </c>
      <c r="I19" s="126" t="s">
        <v>45</v>
      </c>
      <c r="J19" s="126" t="s">
        <v>49</v>
      </c>
      <c r="K19" s="126" t="s">
        <v>64</v>
      </c>
      <c r="L19" s="126" t="s">
        <v>64</v>
      </c>
      <c r="M19" s="130">
        <v>5</v>
      </c>
      <c r="N19" s="130">
        <v>4</v>
      </c>
      <c r="O19" s="130">
        <v>4</v>
      </c>
      <c r="P19" s="130">
        <v>5</v>
      </c>
      <c r="Q19" s="130">
        <v>5</v>
      </c>
      <c r="R19" s="130">
        <v>5</v>
      </c>
      <c r="S19" s="130">
        <v>5</v>
      </c>
      <c r="T19" s="130">
        <v>5</v>
      </c>
      <c r="U19" s="130">
        <v>5</v>
      </c>
      <c r="V19" s="130">
        <v>5</v>
      </c>
      <c r="W19" s="130">
        <v>5</v>
      </c>
      <c r="X19" s="130">
        <v>4</v>
      </c>
      <c r="Y19" s="130">
        <v>4</v>
      </c>
      <c r="Z19" s="130">
        <v>5</v>
      </c>
      <c r="AA19" s="130">
        <v>5</v>
      </c>
      <c r="AB19" s="130">
        <v>5</v>
      </c>
      <c r="AC19" s="130">
        <v>4</v>
      </c>
      <c r="AD19" s="130">
        <v>4</v>
      </c>
      <c r="AE19" s="130">
        <v>5</v>
      </c>
      <c r="AF19" s="130">
        <v>5</v>
      </c>
      <c r="AG19" s="130">
        <v>4</v>
      </c>
      <c r="AH19" s="130">
        <v>5</v>
      </c>
      <c r="AI19" s="126" t="s">
        <v>18</v>
      </c>
      <c r="AJ19" s="130">
        <v>5</v>
      </c>
      <c r="AK19" s="130">
        <v>5</v>
      </c>
      <c r="AL19" s="130">
        <v>1</v>
      </c>
      <c r="AM19" s="130">
        <v>5</v>
      </c>
      <c r="AN19" s="130">
        <v>5</v>
      </c>
      <c r="AO19" s="130">
        <v>5</v>
      </c>
      <c r="AP19" s="130">
        <v>4</v>
      </c>
      <c r="AQ19" s="130">
        <v>4</v>
      </c>
      <c r="AR19" s="130">
        <v>4</v>
      </c>
      <c r="AS19" s="130">
        <v>4</v>
      </c>
      <c r="AT19" s="130">
        <v>5</v>
      </c>
      <c r="AU19" s="130">
        <v>5</v>
      </c>
      <c r="AV19" s="130">
        <v>5</v>
      </c>
      <c r="AW19" s="130">
        <v>5</v>
      </c>
      <c r="AX19" s="130">
        <v>5</v>
      </c>
      <c r="AY19" s="130">
        <v>1</v>
      </c>
      <c r="AZ19" s="130">
        <v>2</v>
      </c>
      <c r="BA19" s="130">
        <v>1</v>
      </c>
      <c r="BB19" s="130">
        <v>1</v>
      </c>
      <c r="BC19" s="130">
        <v>5</v>
      </c>
      <c r="BD19" s="130">
        <v>5</v>
      </c>
      <c r="BE19" s="130">
        <v>1</v>
      </c>
      <c r="BF19" s="126" t="s">
        <v>292</v>
      </c>
      <c r="BG19" s="130">
        <v>5</v>
      </c>
      <c r="BH19" s="126" t="s">
        <v>303</v>
      </c>
      <c r="BI19" s="130">
        <v>1</v>
      </c>
      <c r="BJ19" s="126" t="s">
        <v>190</v>
      </c>
      <c r="BK19" s="126" t="s">
        <v>197</v>
      </c>
      <c r="BL19" s="126" t="s">
        <v>18</v>
      </c>
      <c r="BM19" s="126" t="s">
        <v>20</v>
      </c>
      <c r="BN19" s="130">
        <v>9</v>
      </c>
      <c r="BO19" s="126"/>
      <c r="BP19" s="126"/>
      <c r="BQ19" s="126"/>
      <c r="BR19" s="130"/>
      <c r="BS19" s="130"/>
      <c r="BT19" s="130"/>
      <c r="BU19" s="126"/>
      <c r="BV19" s="126"/>
      <c r="BW19" s="126"/>
      <c r="BX19" s="126"/>
      <c r="BY19" s="126"/>
      <c r="BZ19" s="130">
        <v>1</v>
      </c>
      <c r="CA19" s="126">
        <f t="shared" si="0"/>
        <v>5</v>
      </c>
      <c r="CB19" s="130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3.5" customHeight="1" x14ac:dyDescent="0.25">
      <c r="A20" s="129">
        <v>43591.337229328703</v>
      </c>
      <c r="B20" s="126" t="s">
        <v>291</v>
      </c>
      <c r="C20" s="126" t="s">
        <v>11</v>
      </c>
      <c r="D20" s="126" t="s">
        <v>19</v>
      </c>
      <c r="E20" s="126" t="s">
        <v>20</v>
      </c>
      <c r="F20" s="126" t="s">
        <v>26</v>
      </c>
      <c r="G20" s="126" t="s">
        <v>31</v>
      </c>
      <c r="H20" s="126" t="s">
        <v>38</v>
      </c>
      <c r="I20" s="126" t="s">
        <v>302</v>
      </c>
      <c r="J20" s="126" t="s">
        <v>47</v>
      </c>
      <c r="K20" s="126" t="s">
        <v>63</v>
      </c>
      <c r="L20" s="126" t="s">
        <v>63</v>
      </c>
      <c r="M20" s="130">
        <v>9</v>
      </c>
      <c r="N20" s="130">
        <v>9</v>
      </c>
      <c r="O20" s="130">
        <v>2</v>
      </c>
      <c r="P20" s="130">
        <v>5</v>
      </c>
      <c r="Q20" s="130">
        <v>5</v>
      </c>
      <c r="R20" s="130">
        <v>5</v>
      </c>
      <c r="S20" s="130">
        <v>5</v>
      </c>
      <c r="T20" s="130">
        <v>5</v>
      </c>
      <c r="U20" s="130">
        <v>5</v>
      </c>
      <c r="V20" s="130">
        <v>5</v>
      </c>
      <c r="W20" s="130">
        <v>5</v>
      </c>
      <c r="X20" s="130">
        <v>5</v>
      </c>
      <c r="Y20" s="130">
        <v>5</v>
      </c>
      <c r="Z20" s="130">
        <v>5</v>
      </c>
      <c r="AA20" s="130">
        <v>5</v>
      </c>
      <c r="AB20" s="130">
        <v>5</v>
      </c>
      <c r="AC20" s="130">
        <v>5</v>
      </c>
      <c r="AD20" s="130">
        <v>5</v>
      </c>
      <c r="AE20" s="130">
        <v>5</v>
      </c>
      <c r="AF20" s="130">
        <v>5</v>
      </c>
      <c r="AG20" s="130">
        <v>5</v>
      </c>
      <c r="AH20" s="130">
        <v>5</v>
      </c>
      <c r="AI20" s="126" t="s">
        <v>20</v>
      </c>
      <c r="AJ20" s="130">
        <v>1</v>
      </c>
      <c r="AK20" s="130">
        <v>4</v>
      </c>
      <c r="AL20" s="130">
        <v>1</v>
      </c>
      <c r="AM20" s="130">
        <v>5</v>
      </c>
      <c r="AN20" s="130">
        <v>5</v>
      </c>
      <c r="AO20" s="130">
        <v>5</v>
      </c>
      <c r="AP20" s="130">
        <v>4</v>
      </c>
      <c r="AQ20" s="130">
        <v>4</v>
      </c>
      <c r="AR20" s="130">
        <v>1</v>
      </c>
      <c r="AS20" s="130">
        <v>5</v>
      </c>
      <c r="AT20" s="130">
        <v>5</v>
      </c>
      <c r="AU20" s="130">
        <v>5</v>
      </c>
      <c r="AV20" s="130">
        <v>5</v>
      </c>
      <c r="AW20" s="130">
        <v>5</v>
      </c>
      <c r="AX20" s="130">
        <v>5</v>
      </c>
      <c r="AY20" s="130">
        <v>2</v>
      </c>
      <c r="AZ20" s="130">
        <v>2</v>
      </c>
      <c r="BA20" s="130">
        <v>1</v>
      </c>
      <c r="BB20" s="130">
        <v>1</v>
      </c>
      <c r="BC20" s="130">
        <v>5</v>
      </c>
      <c r="BD20" s="130">
        <v>5</v>
      </c>
      <c r="BE20" s="130">
        <v>2</v>
      </c>
      <c r="BF20" s="130">
        <v>0</v>
      </c>
      <c r="BG20" s="130">
        <v>0</v>
      </c>
      <c r="BH20" s="126" t="s">
        <v>304</v>
      </c>
      <c r="BI20" s="130">
        <v>1</v>
      </c>
      <c r="BJ20" s="126" t="s">
        <v>188</v>
      </c>
      <c r="BK20" s="126" t="s">
        <v>197</v>
      </c>
      <c r="BL20" s="126" t="s">
        <v>20</v>
      </c>
      <c r="BM20" s="126" t="s">
        <v>292</v>
      </c>
      <c r="BN20" s="130">
        <v>9</v>
      </c>
      <c r="BO20" s="126"/>
      <c r="BP20" s="126"/>
      <c r="BQ20" s="126"/>
      <c r="BR20" s="130"/>
      <c r="BS20" s="130"/>
      <c r="BT20" s="130"/>
      <c r="BU20" s="126"/>
      <c r="BV20" s="126"/>
      <c r="BW20" s="126"/>
      <c r="BX20" s="126"/>
      <c r="BY20" s="126"/>
      <c r="BZ20" s="130">
        <v>1</v>
      </c>
      <c r="CA20" s="126">
        <f t="shared" si="0"/>
        <v>5</v>
      </c>
      <c r="CB20" s="130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</row>
    <row r="21" spans="1:113" ht="13.2" x14ac:dyDescent="0.25">
      <c r="A21" s="129">
        <v>43591.339042615742</v>
      </c>
      <c r="B21" s="126" t="s">
        <v>13</v>
      </c>
      <c r="C21" s="126" t="s">
        <v>9</v>
      </c>
      <c r="D21" s="126" t="s">
        <v>19</v>
      </c>
      <c r="E21" s="126" t="s">
        <v>18</v>
      </c>
      <c r="F21" s="126" t="s">
        <v>24</v>
      </c>
      <c r="G21" s="126" t="s">
        <v>31</v>
      </c>
      <c r="H21" s="126" t="s">
        <v>39</v>
      </c>
      <c r="I21" s="126" t="s">
        <v>45</v>
      </c>
      <c r="J21" s="126" t="s">
        <v>47</v>
      </c>
      <c r="K21" s="126" t="s">
        <v>64</v>
      </c>
      <c r="L21" s="126" t="s">
        <v>64</v>
      </c>
      <c r="M21" s="130">
        <v>4</v>
      </c>
      <c r="N21" s="130">
        <v>5</v>
      </c>
      <c r="O21" s="130">
        <v>1</v>
      </c>
      <c r="P21" s="130">
        <v>5</v>
      </c>
      <c r="Q21" s="130">
        <v>9</v>
      </c>
      <c r="R21" s="130">
        <v>9</v>
      </c>
      <c r="S21" s="130">
        <v>5</v>
      </c>
      <c r="T21" s="130">
        <v>5</v>
      </c>
      <c r="U21" s="130">
        <v>5</v>
      </c>
      <c r="V21" s="130">
        <v>5</v>
      </c>
      <c r="W21" s="130">
        <v>5</v>
      </c>
      <c r="X21" s="130">
        <v>9</v>
      </c>
      <c r="Y21" s="130">
        <v>5</v>
      </c>
      <c r="Z21" s="130">
        <v>5</v>
      </c>
      <c r="AA21" s="130">
        <v>5</v>
      </c>
      <c r="AB21" s="130">
        <v>5</v>
      </c>
      <c r="AC21" s="130">
        <v>5</v>
      </c>
      <c r="AD21" s="130">
        <v>5</v>
      </c>
      <c r="AE21" s="130">
        <v>5</v>
      </c>
      <c r="AF21" s="130">
        <v>5</v>
      </c>
      <c r="AG21" s="130">
        <v>5</v>
      </c>
      <c r="AH21" s="130">
        <v>5</v>
      </c>
      <c r="AI21" s="126" t="s">
        <v>20</v>
      </c>
      <c r="AJ21" s="130">
        <v>9</v>
      </c>
      <c r="AK21" s="130">
        <v>5</v>
      </c>
      <c r="AL21" s="130">
        <v>1</v>
      </c>
      <c r="AM21" s="130">
        <v>5</v>
      </c>
      <c r="AN21" s="130">
        <v>5</v>
      </c>
      <c r="AO21" s="130">
        <v>5</v>
      </c>
      <c r="AP21" s="130">
        <v>5</v>
      </c>
      <c r="AQ21" s="130">
        <v>5</v>
      </c>
      <c r="AR21" s="130">
        <v>5</v>
      </c>
      <c r="AS21" s="130">
        <v>5</v>
      </c>
      <c r="AT21" s="130">
        <v>5</v>
      </c>
      <c r="AU21" s="130">
        <v>5</v>
      </c>
      <c r="AV21" s="130">
        <v>5</v>
      </c>
      <c r="AW21" s="130">
        <v>5</v>
      </c>
      <c r="AX21" s="130">
        <v>5</v>
      </c>
      <c r="AY21" s="130">
        <v>1</v>
      </c>
      <c r="AZ21" s="130">
        <v>2</v>
      </c>
      <c r="BA21" s="130">
        <v>1</v>
      </c>
      <c r="BB21" s="130">
        <v>1</v>
      </c>
      <c r="BC21" s="130">
        <v>5</v>
      </c>
      <c r="BD21" s="130">
        <v>5</v>
      </c>
      <c r="BE21" s="130">
        <v>5</v>
      </c>
      <c r="BF21" s="130">
        <v>0</v>
      </c>
      <c r="BG21" s="130">
        <v>3</v>
      </c>
      <c r="BH21" s="126"/>
      <c r="BI21" s="130">
        <v>1</v>
      </c>
      <c r="BJ21" s="126" t="s">
        <v>190</v>
      </c>
      <c r="BK21" s="126" t="s">
        <v>192</v>
      </c>
      <c r="BL21" s="126" t="s">
        <v>18</v>
      </c>
      <c r="BM21" s="126" t="s">
        <v>20</v>
      </c>
      <c r="BN21" s="130">
        <v>9</v>
      </c>
      <c r="BO21" s="126"/>
      <c r="BP21" s="126"/>
      <c r="BQ21" s="126"/>
      <c r="BR21" s="130"/>
      <c r="BS21" s="130"/>
      <c r="BT21" s="130"/>
      <c r="BU21" s="126"/>
      <c r="BV21" s="126"/>
      <c r="BW21" s="126"/>
      <c r="BX21" s="126"/>
      <c r="BY21" s="126"/>
      <c r="BZ21" s="130">
        <v>1</v>
      </c>
      <c r="CA21" s="126">
        <f t="shared" si="0"/>
        <v>5</v>
      </c>
      <c r="CB21" s="130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</row>
    <row r="22" spans="1:113" ht="13.5" customHeight="1" x14ac:dyDescent="0.25">
      <c r="A22" s="129">
        <v>43591.340792222225</v>
      </c>
      <c r="B22" s="126" t="s">
        <v>293</v>
      </c>
      <c r="C22" s="126" t="s">
        <v>9</v>
      </c>
      <c r="D22" s="126" t="s">
        <v>16</v>
      </c>
      <c r="E22" s="126" t="s">
        <v>20</v>
      </c>
      <c r="F22" s="126" t="s">
        <v>26</v>
      </c>
      <c r="G22" s="126" t="s">
        <v>32</v>
      </c>
      <c r="H22" s="126" t="s">
        <v>38</v>
      </c>
      <c r="I22" s="126" t="s">
        <v>45</v>
      </c>
      <c r="J22" s="126" t="s">
        <v>49</v>
      </c>
      <c r="K22" s="126" t="s">
        <v>297</v>
      </c>
      <c r="L22" s="126" t="s">
        <v>55</v>
      </c>
      <c r="M22" s="130">
        <v>5</v>
      </c>
      <c r="N22" s="130">
        <v>3</v>
      </c>
      <c r="O22" s="130">
        <v>1</v>
      </c>
      <c r="P22" s="130">
        <v>5</v>
      </c>
      <c r="Q22" s="130">
        <v>9</v>
      </c>
      <c r="R22" s="130">
        <v>5</v>
      </c>
      <c r="S22" s="130">
        <v>5</v>
      </c>
      <c r="T22" s="130">
        <v>5</v>
      </c>
      <c r="U22" s="130">
        <v>5</v>
      </c>
      <c r="V22" s="130">
        <v>5</v>
      </c>
      <c r="W22" s="130">
        <v>5</v>
      </c>
      <c r="X22" s="130">
        <v>5</v>
      </c>
      <c r="Y22" s="130">
        <v>5</v>
      </c>
      <c r="Z22" s="130">
        <v>5</v>
      </c>
      <c r="AA22" s="130">
        <v>5</v>
      </c>
      <c r="AB22" s="130">
        <v>5</v>
      </c>
      <c r="AC22" s="130">
        <v>5</v>
      </c>
      <c r="AD22" s="130">
        <v>5</v>
      </c>
      <c r="AE22" s="130">
        <v>5</v>
      </c>
      <c r="AF22" s="130">
        <v>5</v>
      </c>
      <c r="AG22" s="130">
        <v>5</v>
      </c>
      <c r="AH22" s="130">
        <v>5</v>
      </c>
      <c r="AI22" s="126" t="s">
        <v>20</v>
      </c>
      <c r="AJ22" s="130">
        <v>1</v>
      </c>
      <c r="AK22" s="130">
        <v>5</v>
      </c>
      <c r="AL22" s="130">
        <v>1</v>
      </c>
      <c r="AM22" s="130">
        <v>5</v>
      </c>
      <c r="AN22" s="130">
        <v>5</v>
      </c>
      <c r="AO22" s="130">
        <v>5</v>
      </c>
      <c r="AP22" s="130">
        <v>5</v>
      </c>
      <c r="AQ22" s="130">
        <v>5</v>
      </c>
      <c r="AR22" s="130">
        <v>5</v>
      </c>
      <c r="AS22" s="130">
        <v>5</v>
      </c>
      <c r="AT22" s="130">
        <v>5</v>
      </c>
      <c r="AU22" s="130">
        <v>5</v>
      </c>
      <c r="AV22" s="130">
        <v>5</v>
      </c>
      <c r="AW22" s="130">
        <v>5</v>
      </c>
      <c r="AX22" s="130">
        <v>5</v>
      </c>
      <c r="AY22" s="130">
        <v>9</v>
      </c>
      <c r="AZ22" s="130">
        <v>9</v>
      </c>
      <c r="BA22" s="130">
        <v>9</v>
      </c>
      <c r="BB22" s="130">
        <v>9</v>
      </c>
      <c r="BC22" s="130">
        <v>9</v>
      </c>
      <c r="BD22" s="130">
        <v>9</v>
      </c>
      <c r="BE22" s="130">
        <v>4</v>
      </c>
      <c r="BF22" s="130">
        <v>0</v>
      </c>
      <c r="BG22" s="130">
        <v>0</v>
      </c>
      <c r="BH22" s="126"/>
      <c r="BI22" s="130">
        <v>1</v>
      </c>
      <c r="BJ22" s="126" t="s">
        <v>188</v>
      </c>
      <c r="BK22" s="126" t="s">
        <v>192</v>
      </c>
      <c r="BL22" s="126" t="s">
        <v>20</v>
      </c>
      <c r="BM22" s="126" t="s">
        <v>20</v>
      </c>
      <c r="BN22" s="130">
        <v>9</v>
      </c>
      <c r="BO22" s="126"/>
      <c r="BP22" s="126"/>
      <c r="BQ22" s="126"/>
      <c r="BR22" s="130"/>
      <c r="BS22" s="130"/>
      <c r="BT22" s="130"/>
      <c r="BU22" s="126"/>
      <c r="BV22" s="126"/>
      <c r="BW22" s="126"/>
      <c r="BX22" s="126"/>
      <c r="BY22" s="126"/>
      <c r="BZ22" s="130">
        <v>1</v>
      </c>
      <c r="CA22" s="126">
        <f t="shared" si="0"/>
        <v>5</v>
      </c>
      <c r="CB22" s="130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</row>
    <row r="23" spans="1:113" ht="13.2" x14ac:dyDescent="0.25">
      <c r="A23" s="129">
        <v>43591.343186400467</v>
      </c>
      <c r="B23" s="126" t="s">
        <v>291</v>
      </c>
      <c r="C23" s="126" t="s">
        <v>9</v>
      </c>
      <c r="D23" s="126" t="s">
        <v>19</v>
      </c>
      <c r="E23" s="126" t="s">
        <v>20</v>
      </c>
      <c r="F23" s="126" t="s">
        <v>24</v>
      </c>
      <c r="G23" s="126" t="s">
        <v>32</v>
      </c>
      <c r="H23" s="126" t="s">
        <v>38</v>
      </c>
      <c r="I23" s="126" t="s">
        <v>48</v>
      </c>
      <c r="J23" s="126" t="s">
        <v>49</v>
      </c>
      <c r="K23" s="126" t="s">
        <v>63</v>
      </c>
      <c r="L23" s="126" t="s">
        <v>61</v>
      </c>
      <c r="M23" s="130">
        <v>4</v>
      </c>
      <c r="N23" s="130">
        <v>3</v>
      </c>
      <c r="O23" s="130">
        <v>3</v>
      </c>
      <c r="P23" s="130">
        <v>5</v>
      </c>
      <c r="Q23" s="130">
        <v>9</v>
      </c>
      <c r="R23" s="130">
        <v>5</v>
      </c>
      <c r="S23" s="130">
        <v>5</v>
      </c>
      <c r="T23" s="130">
        <v>5</v>
      </c>
      <c r="U23" s="130">
        <v>5</v>
      </c>
      <c r="V23" s="130">
        <v>4</v>
      </c>
      <c r="W23" s="130">
        <v>4</v>
      </c>
      <c r="X23" s="130">
        <v>5</v>
      </c>
      <c r="Y23" s="130">
        <v>5</v>
      </c>
      <c r="Z23" s="130">
        <v>5</v>
      </c>
      <c r="AA23" s="130">
        <v>5</v>
      </c>
      <c r="AB23" s="130">
        <v>5</v>
      </c>
      <c r="AC23" s="130">
        <v>5</v>
      </c>
      <c r="AD23" s="130">
        <v>5</v>
      </c>
      <c r="AE23" s="130">
        <v>5</v>
      </c>
      <c r="AF23" s="130">
        <v>5</v>
      </c>
      <c r="AG23" s="130">
        <v>5</v>
      </c>
      <c r="AH23" s="130">
        <v>5</v>
      </c>
      <c r="AI23" s="126" t="s">
        <v>20</v>
      </c>
      <c r="AJ23" s="130">
        <v>9</v>
      </c>
      <c r="AK23" s="130">
        <v>5</v>
      </c>
      <c r="AL23" s="130">
        <v>3</v>
      </c>
      <c r="AM23" s="130">
        <v>5</v>
      </c>
      <c r="AN23" s="130">
        <v>5</v>
      </c>
      <c r="AO23" s="130">
        <v>4</v>
      </c>
      <c r="AP23" s="130">
        <v>5</v>
      </c>
      <c r="AQ23" s="130">
        <v>5</v>
      </c>
      <c r="AR23" s="130">
        <v>5</v>
      </c>
      <c r="AS23" s="130">
        <v>5</v>
      </c>
      <c r="AT23" s="130">
        <v>5</v>
      </c>
      <c r="AU23" s="130">
        <v>5</v>
      </c>
      <c r="AV23" s="130">
        <v>5</v>
      </c>
      <c r="AW23" s="130">
        <v>4</v>
      </c>
      <c r="AX23" s="130">
        <v>5</v>
      </c>
      <c r="AY23" s="130">
        <v>1</v>
      </c>
      <c r="AZ23" s="130">
        <v>2</v>
      </c>
      <c r="BA23" s="130">
        <v>1</v>
      </c>
      <c r="BB23" s="130">
        <v>2</v>
      </c>
      <c r="BC23" s="130">
        <v>5</v>
      </c>
      <c r="BD23" s="130">
        <v>5</v>
      </c>
      <c r="BE23" s="130">
        <v>2</v>
      </c>
      <c r="BF23" s="130">
        <v>0</v>
      </c>
      <c r="BG23" s="130">
        <v>0</v>
      </c>
      <c r="BH23" s="126"/>
      <c r="BI23" s="130">
        <v>1</v>
      </c>
      <c r="BJ23" s="126" t="s">
        <v>190</v>
      </c>
      <c r="BK23" s="126" t="s">
        <v>194</v>
      </c>
      <c r="BL23" s="126" t="s">
        <v>18</v>
      </c>
      <c r="BM23" s="126" t="s">
        <v>20</v>
      </c>
      <c r="BN23" s="130">
        <v>9</v>
      </c>
      <c r="BO23" s="126"/>
      <c r="BP23" s="126"/>
      <c r="BQ23" s="126"/>
      <c r="BR23" s="130"/>
      <c r="BS23" s="130"/>
      <c r="BT23" s="130"/>
      <c r="BU23" s="126"/>
      <c r="BV23" s="126"/>
      <c r="BW23" s="126"/>
      <c r="BX23" s="126"/>
      <c r="BY23" s="126"/>
      <c r="BZ23" s="130">
        <v>1</v>
      </c>
      <c r="CA23" s="126">
        <f t="shared" si="0"/>
        <v>5</v>
      </c>
      <c r="CB23" s="130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</row>
    <row r="24" spans="1:113" ht="13.2" x14ac:dyDescent="0.25">
      <c r="A24" s="129">
        <v>43591.347269560181</v>
      </c>
      <c r="B24" s="126" t="s">
        <v>293</v>
      </c>
      <c r="C24" s="126" t="s">
        <v>9</v>
      </c>
      <c r="D24" s="126" t="s">
        <v>19</v>
      </c>
      <c r="E24" s="126" t="s">
        <v>20</v>
      </c>
      <c r="F24" s="126" t="s">
        <v>24</v>
      </c>
      <c r="G24" s="126" t="s">
        <v>32</v>
      </c>
      <c r="H24" s="126" t="s">
        <v>38</v>
      </c>
      <c r="I24" s="126" t="s">
        <v>45</v>
      </c>
      <c r="J24" s="126" t="s">
        <v>49</v>
      </c>
      <c r="K24" s="126" t="s">
        <v>63</v>
      </c>
      <c r="L24" s="126" t="s">
        <v>63</v>
      </c>
      <c r="M24" s="130">
        <v>4</v>
      </c>
      <c r="N24" s="130">
        <v>3</v>
      </c>
      <c r="O24" s="130">
        <v>1</v>
      </c>
      <c r="P24" s="130">
        <v>5</v>
      </c>
      <c r="Q24" s="130">
        <v>5</v>
      </c>
      <c r="R24" s="130">
        <v>5</v>
      </c>
      <c r="S24" s="130">
        <v>5</v>
      </c>
      <c r="T24" s="130">
        <v>5</v>
      </c>
      <c r="U24" s="130">
        <v>5</v>
      </c>
      <c r="V24" s="130">
        <v>4</v>
      </c>
      <c r="W24" s="130">
        <v>4</v>
      </c>
      <c r="X24" s="130">
        <v>4</v>
      </c>
      <c r="Y24" s="130">
        <v>4</v>
      </c>
      <c r="Z24" s="130">
        <v>4</v>
      </c>
      <c r="AA24" s="130">
        <v>4</v>
      </c>
      <c r="AB24" s="130">
        <v>4</v>
      </c>
      <c r="AC24" s="130">
        <v>4</v>
      </c>
      <c r="AD24" s="130">
        <v>4</v>
      </c>
      <c r="AE24" s="130">
        <v>4</v>
      </c>
      <c r="AF24" s="130">
        <v>4</v>
      </c>
      <c r="AG24" s="130">
        <v>4</v>
      </c>
      <c r="AH24" s="130">
        <v>4</v>
      </c>
      <c r="AI24" s="126" t="s">
        <v>20</v>
      </c>
      <c r="AJ24" s="130">
        <v>9</v>
      </c>
      <c r="AK24" s="130">
        <v>4</v>
      </c>
      <c r="AL24" s="130">
        <v>3</v>
      </c>
      <c r="AM24" s="130">
        <v>4</v>
      </c>
      <c r="AN24" s="130">
        <v>4</v>
      </c>
      <c r="AO24" s="130">
        <v>4</v>
      </c>
      <c r="AP24" s="130">
        <v>4</v>
      </c>
      <c r="AQ24" s="130">
        <v>4</v>
      </c>
      <c r="AR24" s="130">
        <v>1</v>
      </c>
      <c r="AS24" s="130">
        <v>4</v>
      </c>
      <c r="AT24" s="130">
        <v>4</v>
      </c>
      <c r="AU24" s="130">
        <v>4</v>
      </c>
      <c r="AV24" s="130">
        <v>4</v>
      </c>
      <c r="AW24" s="130">
        <v>4</v>
      </c>
      <c r="AX24" s="130">
        <v>4</v>
      </c>
      <c r="AY24" s="130">
        <v>9</v>
      </c>
      <c r="AZ24" s="130">
        <v>1</v>
      </c>
      <c r="BA24" s="130">
        <v>1</v>
      </c>
      <c r="BB24" s="130">
        <v>2</v>
      </c>
      <c r="BC24" s="130">
        <v>4</v>
      </c>
      <c r="BD24" s="130">
        <v>4</v>
      </c>
      <c r="BE24" s="130">
        <v>3</v>
      </c>
      <c r="BF24" s="130">
        <v>1</v>
      </c>
      <c r="BG24" s="126" t="s">
        <v>292</v>
      </c>
      <c r="BH24" s="126"/>
      <c r="BI24" s="130">
        <v>1</v>
      </c>
      <c r="BJ24" s="126" t="s">
        <v>190</v>
      </c>
      <c r="BK24" s="126" t="s">
        <v>194</v>
      </c>
      <c r="BL24" s="126" t="s">
        <v>20</v>
      </c>
      <c r="BM24" s="126" t="s">
        <v>20</v>
      </c>
      <c r="BN24" s="130">
        <v>9</v>
      </c>
      <c r="BO24" s="126"/>
      <c r="BP24" s="126"/>
      <c r="BQ24" s="126"/>
      <c r="BR24" s="130"/>
      <c r="BS24" s="130"/>
      <c r="BT24" s="130"/>
      <c r="BU24" s="126"/>
      <c r="BV24" s="126"/>
      <c r="BW24" s="126"/>
      <c r="BX24" s="126"/>
      <c r="BY24" s="126"/>
      <c r="BZ24" s="130">
        <v>1</v>
      </c>
      <c r="CA24" s="126">
        <f t="shared" si="0"/>
        <v>5</v>
      </c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</row>
    <row r="25" spans="1:113" ht="13.2" x14ac:dyDescent="0.25">
      <c r="A25" s="129">
        <v>43591.34931341435</v>
      </c>
      <c r="B25" s="126" t="s">
        <v>291</v>
      </c>
      <c r="C25" s="126" t="s">
        <v>9</v>
      </c>
      <c r="D25" s="126" t="s">
        <v>19</v>
      </c>
      <c r="E25" s="126" t="s">
        <v>18</v>
      </c>
      <c r="F25" s="126" t="s">
        <v>26</v>
      </c>
      <c r="G25" s="126" t="s">
        <v>32</v>
      </c>
      <c r="H25" s="126" t="s">
        <v>39</v>
      </c>
      <c r="I25" s="126" t="s">
        <v>45</v>
      </c>
      <c r="J25" s="126" t="s">
        <v>49</v>
      </c>
      <c r="K25" s="126" t="s">
        <v>63</v>
      </c>
      <c r="L25" s="126" t="s">
        <v>63</v>
      </c>
      <c r="M25" s="130">
        <v>5</v>
      </c>
      <c r="N25" s="130">
        <v>5</v>
      </c>
      <c r="O25" s="130">
        <v>5</v>
      </c>
      <c r="P25" s="130">
        <v>5</v>
      </c>
      <c r="Q25" s="130">
        <v>9</v>
      </c>
      <c r="R25" s="130">
        <v>5</v>
      </c>
      <c r="S25" s="130">
        <v>5</v>
      </c>
      <c r="T25" s="130">
        <v>5</v>
      </c>
      <c r="U25" s="130">
        <v>5</v>
      </c>
      <c r="V25" s="130">
        <v>5</v>
      </c>
      <c r="W25" s="130">
        <v>5</v>
      </c>
      <c r="X25" s="130">
        <v>9</v>
      </c>
      <c r="Y25" s="130">
        <v>5</v>
      </c>
      <c r="Z25" s="130">
        <v>5</v>
      </c>
      <c r="AA25" s="130">
        <v>5</v>
      </c>
      <c r="AB25" s="130">
        <v>5</v>
      </c>
      <c r="AC25" s="130">
        <v>5</v>
      </c>
      <c r="AD25" s="130">
        <v>5</v>
      </c>
      <c r="AE25" s="130">
        <v>5</v>
      </c>
      <c r="AF25" s="130">
        <v>5</v>
      </c>
      <c r="AG25" s="130">
        <v>5</v>
      </c>
      <c r="AH25" s="130">
        <v>5</v>
      </c>
      <c r="AI25" s="126" t="s">
        <v>18</v>
      </c>
      <c r="AJ25" s="130">
        <v>5</v>
      </c>
      <c r="AK25" s="130">
        <v>5</v>
      </c>
      <c r="AL25" s="130">
        <v>1</v>
      </c>
      <c r="AM25" s="130">
        <v>5</v>
      </c>
      <c r="AN25" s="130">
        <v>5</v>
      </c>
      <c r="AO25" s="130">
        <v>5</v>
      </c>
      <c r="AP25" s="130">
        <v>5</v>
      </c>
      <c r="AQ25" s="130">
        <v>5</v>
      </c>
      <c r="AR25" s="130">
        <v>5</v>
      </c>
      <c r="AS25" s="130">
        <v>5</v>
      </c>
      <c r="AT25" s="130">
        <v>5</v>
      </c>
      <c r="AU25" s="130">
        <v>5</v>
      </c>
      <c r="AV25" s="130">
        <v>5</v>
      </c>
      <c r="AW25" s="130">
        <v>5</v>
      </c>
      <c r="AX25" s="130">
        <v>5</v>
      </c>
      <c r="AY25" s="130">
        <v>2</v>
      </c>
      <c r="AZ25" s="130">
        <v>1</v>
      </c>
      <c r="BA25" s="130">
        <v>1</v>
      </c>
      <c r="BB25" s="130">
        <v>1</v>
      </c>
      <c r="BC25" s="130">
        <v>5</v>
      </c>
      <c r="BD25" s="130">
        <v>3</v>
      </c>
      <c r="BE25" s="130">
        <v>1</v>
      </c>
      <c r="BF25" s="126" t="s">
        <v>292</v>
      </c>
      <c r="BG25" s="126" t="s">
        <v>292</v>
      </c>
      <c r="BH25" s="126"/>
      <c r="BI25" s="130">
        <v>1</v>
      </c>
      <c r="BJ25" s="131" t="s">
        <v>190</v>
      </c>
      <c r="BK25" s="126" t="s">
        <v>194</v>
      </c>
      <c r="BL25" s="126" t="s">
        <v>18</v>
      </c>
      <c r="BM25" s="126" t="s">
        <v>20</v>
      </c>
      <c r="BN25" s="130">
        <v>9</v>
      </c>
      <c r="BO25" s="126"/>
      <c r="BP25" s="126"/>
      <c r="BQ25" s="126"/>
      <c r="BR25" s="130"/>
      <c r="BS25" s="130"/>
      <c r="BT25" s="130"/>
      <c r="BU25" s="126"/>
      <c r="BV25" s="126"/>
      <c r="BW25" s="126"/>
      <c r="BX25" s="126"/>
      <c r="BY25" s="126"/>
      <c r="BZ25" s="130">
        <v>1</v>
      </c>
      <c r="CA25" s="126">
        <f t="shared" si="0"/>
        <v>5</v>
      </c>
      <c r="CB25" s="130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</row>
    <row r="26" spans="1:113" ht="13.2" x14ac:dyDescent="0.25">
      <c r="A26" s="129">
        <v>43591.351915659718</v>
      </c>
      <c r="B26" s="126" t="s">
        <v>293</v>
      </c>
      <c r="C26" s="126" t="s">
        <v>9</v>
      </c>
      <c r="D26" s="126" t="s">
        <v>16</v>
      </c>
      <c r="E26" s="126" t="s">
        <v>20</v>
      </c>
      <c r="F26" s="126" t="s">
        <v>24</v>
      </c>
      <c r="G26" s="126" t="s">
        <v>298</v>
      </c>
      <c r="H26" s="126" t="s">
        <v>38</v>
      </c>
      <c r="I26" s="126" t="s">
        <v>46</v>
      </c>
      <c r="J26" s="126" t="s">
        <v>49</v>
      </c>
      <c r="K26" s="126" t="s">
        <v>297</v>
      </c>
      <c r="L26" s="126" t="s">
        <v>55</v>
      </c>
      <c r="M26" s="130">
        <v>5</v>
      </c>
      <c r="N26" s="130">
        <v>4</v>
      </c>
      <c r="O26" s="130">
        <v>2</v>
      </c>
      <c r="P26" s="130">
        <v>5</v>
      </c>
      <c r="Q26" s="130">
        <v>9</v>
      </c>
      <c r="R26" s="130">
        <v>5</v>
      </c>
      <c r="S26" s="130">
        <v>5</v>
      </c>
      <c r="T26" s="130">
        <v>2</v>
      </c>
      <c r="U26" s="130">
        <v>1</v>
      </c>
      <c r="V26" s="130">
        <v>3</v>
      </c>
      <c r="W26" s="130">
        <v>3</v>
      </c>
      <c r="X26" s="130">
        <v>1</v>
      </c>
      <c r="Y26" s="130">
        <v>4</v>
      </c>
      <c r="Z26" s="130">
        <v>4</v>
      </c>
      <c r="AA26" s="130">
        <v>5</v>
      </c>
      <c r="AB26" s="130">
        <v>5</v>
      </c>
      <c r="AC26" s="130">
        <v>5</v>
      </c>
      <c r="AD26" s="130">
        <v>5</v>
      </c>
      <c r="AE26" s="130">
        <v>5</v>
      </c>
      <c r="AF26" s="130">
        <v>4</v>
      </c>
      <c r="AG26" s="130">
        <v>4</v>
      </c>
      <c r="AH26" s="130">
        <v>4</v>
      </c>
      <c r="AI26" s="126" t="s">
        <v>18</v>
      </c>
      <c r="AJ26" s="130">
        <v>5</v>
      </c>
      <c r="AK26" s="130">
        <v>5</v>
      </c>
      <c r="AL26" s="130">
        <v>1</v>
      </c>
      <c r="AM26" s="130">
        <v>5</v>
      </c>
      <c r="AN26" s="130">
        <v>5</v>
      </c>
      <c r="AO26" s="130">
        <v>5</v>
      </c>
      <c r="AP26" s="130">
        <v>5</v>
      </c>
      <c r="AQ26" s="130">
        <v>5</v>
      </c>
      <c r="AR26" s="130">
        <v>5</v>
      </c>
      <c r="AS26" s="130">
        <v>5</v>
      </c>
      <c r="AT26" s="130">
        <v>1</v>
      </c>
      <c r="AU26" s="130">
        <v>5</v>
      </c>
      <c r="AV26" s="130">
        <v>5</v>
      </c>
      <c r="AW26" s="130">
        <v>5</v>
      </c>
      <c r="AX26" s="130">
        <v>5</v>
      </c>
      <c r="AY26" s="130">
        <v>9</v>
      </c>
      <c r="AZ26" s="130">
        <v>9</v>
      </c>
      <c r="BA26" s="130">
        <v>9</v>
      </c>
      <c r="BB26" s="130">
        <v>9</v>
      </c>
      <c r="BC26" s="130">
        <v>9</v>
      </c>
      <c r="BD26" s="130">
        <v>9</v>
      </c>
      <c r="BE26" s="126" t="s">
        <v>292</v>
      </c>
      <c r="BF26" s="126" t="s">
        <v>292</v>
      </c>
      <c r="BG26" s="126" t="s">
        <v>292</v>
      </c>
      <c r="BH26" s="126"/>
      <c r="BI26" s="130">
        <v>1</v>
      </c>
      <c r="BJ26" s="126" t="s">
        <v>190</v>
      </c>
      <c r="BK26" s="126" t="s">
        <v>192</v>
      </c>
      <c r="BL26" s="126" t="s">
        <v>18</v>
      </c>
      <c r="BM26" s="126" t="s">
        <v>292</v>
      </c>
      <c r="BN26" s="130">
        <v>9</v>
      </c>
      <c r="BO26" s="126"/>
      <c r="BP26" s="126"/>
      <c r="BQ26" s="126"/>
      <c r="BR26" s="130"/>
      <c r="BS26" s="130"/>
      <c r="BT26" s="130"/>
      <c r="BU26" s="126"/>
      <c r="BV26" s="126"/>
      <c r="BW26" s="126"/>
      <c r="BX26" s="126"/>
      <c r="BY26" s="126"/>
      <c r="BZ26" s="130">
        <v>1</v>
      </c>
      <c r="CA26" s="126">
        <f t="shared" si="0"/>
        <v>5</v>
      </c>
      <c r="CB26" s="130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</row>
    <row r="27" spans="1:113" ht="13.5" customHeight="1" x14ac:dyDescent="0.25">
      <c r="A27" s="129">
        <v>43591.353855590278</v>
      </c>
      <c r="B27" s="126" t="s">
        <v>301</v>
      </c>
      <c r="C27" s="126" t="s">
        <v>9</v>
      </c>
      <c r="D27" s="126" t="s">
        <v>19</v>
      </c>
      <c r="E27" s="126" t="s">
        <v>18</v>
      </c>
      <c r="F27" s="126" t="s">
        <v>26</v>
      </c>
      <c r="G27" s="126" t="s">
        <v>28</v>
      </c>
      <c r="H27" s="126" t="s">
        <v>38</v>
      </c>
      <c r="I27" s="126" t="s">
        <v>46</v>
      </c>
      <c r="J27" s="126" t="s">
        <v>49</v>
      </c>
      <c r="K27" s="126" t="s">
        <v>63</v>
      </c>
      <c r="L27" s="126" t="s">
        <v>61</v>
      </c>
      <c r="M27" s="130">
        <v>5</v>
      </c>
      <c r="N27" s="130">
        <v>5</v>
      </c>
      <c r="O27" s="130">
        <v>5</v>
      </c>
      <c r="P27" s="130">
        <v>5</v>
      </c>
      <c r="Q27" s="130">
        <v>9</v>
      </c>
      <c r="R27" s="130">
        <v>5</v>
      </c>
      <c r="S27" s="130">
        <v>9</v>
      </c>
      <c r="T27" s="130">
        <v>5</v>
      </c>
      <c r="U27" s="130">
        <v>5</v>
      </c>
      <c r="V27" s="130">
        <v>5</v>
      </c>
      <c r="W27" s="130">
        <v>5</v>
      </c>
      <c r="X27" s="130">
        <v>5</v>
      </c>
      <c r="Y27" s="130">
        <v>5</v>
      </c>
      <c r="Z27" s="130">
        <v>5</v>
      </c>
      <c r="AA27" s="130">
        <v>5</v>
      </c>
      <c r="AB27" s="130">
        <v>5</v>
      </c>
      <c r="AC27" s="130">
        <v>5</v>
      </c>
      <c r="AD27" s="130">
        <v>5</v>
      </c>
      <c r="AE27" s="130">
        <v>5</v>
      </c>
      <c r="AF27" s="130">
        <v>5</v>
      </c>
      <c r="AG27" s="130">
        <v>5</v>
      </c>
      <c r="AH27" s="130">
        <v>5</v>
      </c>
      <c r="AI27" s="126" t="s">
        <v>18</v>
      </c>
      <c r="AJ27" s="130">
        <v>5</v>
      </c>
      <c r="AK27" s="130">
        <v>5</v>
      </c>
      <c r="AL27" s="130">
        <v>1</v>
      </c>
      <c r="AM27" s="130">
        <v>5</v>
      </c>
      <c r="AN27" s="130">
        <v>5</v>
      </c>
      <c r="AO27" s="130">
        <v>5</v>
      </c>
      <c r="AP27" s="130">
        <v>5</v>
      </c>
      <c r="AQ27" s="130">
        <v>5</v>
      </c>
      <c r="AR27" s="130">
        <v>5</v>
      </c>
      <c r="AS27" s="130">
        <v>5</v>
      </c>
      <c r="AT27" s="130">
        <v>1</v>
      </c>
      <c r="AU27" s="130">
        <v>5</v>
      </c>
      <c r="AV27" s="130">
        <v>5</v>
      </c>
      <c r="AW27" s="130">
        <v>5</v>
      </c>
      <c r="AX27" s="130">
        <v>5</v>
      </c>
      <c r="AY27" s="130">
        <v>1</v>
      </c>
      <c r="AZ27" s="130">
        <v>2</v>
      </c>
      <c r="BA27" s="130">
        <v>2</v>
      </c>
      <c r="BB27" s="130">
        <v>2</v>
      </c>
      <c r="BC27" s="130">
        <v>5</v>
      </c>
      <c r="BD27" s="130">
        <v>5</v>
      </c>
      <c r="BE27" s="130">
        <v>2</v>
      </c>
      <c r="BF27" s="130">
        <v>0</v>
      </c>
      <c r="BG27" s="130">
        <v>1</v>
      </c>
      <c r="BH27" s="126"/>
      <c r="BI27" s="130">
        <v>1</v>
      </c>
      <c r="BJ27" s="126" t="s">
        <v>190</v>
      </c>
      <c r="BK27" s="126" t="s">
        <v>192</v>
      </c>
      <c r="BL27" s="126" t="s">
        <v>18</v>
      </c>
      <c r="BM27" s="126" t="s">
        <v>18</v>
      </c>
      <c r="BN27" s="130">
        <v>5</v>
      </c>
      <c r="BO27" s="126"/>
      <c r="BP27" s="126"/>
      <c r="BQ27" s="126"/>
      <c r="BR27" s="130"/>
      <c r="BS27" s="130"/>
      <c r="BT27" s="130"/>
      <c r="BU27" s="126"/>
      <c r="BV27" s="126"/>
      <c r="BW27" s="126"/>
      <c r="BX27" s="126"/>
      <c r="BY27" s="126"/>
      <c r="BZ27" s="130">
        <v>1</v>
      </c>
      <c r="CA27" s="126">
        <f t="shared" si="0"/>
        <v>5</v>
      </c>
      <c r="CB27" s="130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</row>
    <row r="28" spans="1:113" ht="13.2" x14ac:dyDescent="0.25">
      <c r="A28" s="129">
        <v>43591.357747766204</v>
      </c>
      <c r="B28" s="126" t="s">
        <v>291</v>
      </c>
      <c r="C28" s="126" t="s">
        <v>11</v>
      </c>
      <c r="D28" s="126" t="s">
        <v>16</v>
      </c>
      <c r="E28" s="126" t="s">
        <v>20</v>
      </c>
      <c r="F28" s="126" t="s">
        <v>24</v>
      </c>
      <c r="G28" s="126" t="s">
        <v>30</v>
      </c>
      <c r="H28" s="127" t="s">
        <v>38</v>
      </c>
      <c r="I28" s="126"/>
      <c r="J28" s="126" t="s">
        <v>53</v>
      </c>
      <c r="K28" s="126" t="s">
        <v>63</v>
      </c>
      <c r="L28" s="126" t="s">
        <v>63</v>
      </c>
      <c r="M28" s="130">
        <v>5</v>
      </c>
      <c r="N28" s="130">
        <v>2</v>
      </c>
      <c r="O28" s="130">
        <v>1</v>
      </c>
      <c r="P28" s="130">
        <v>5</v>
      </c>
      <c r="Q28" s="130">
        <v>5</v>
      </c>
      <c r="R28" s="130">
        <v>5</v>
      </c>
      <c r="S28" s="130">
        <v>5</v>
      </c>
      <c r="T28" s="130">
        <v>1</v>
      </c>
      <c r="U28" s="130">
        <v>1</v>
      </c>
      <c r="V28" s="130">
        <v>9</v>
      </c>
      <c r="W28" s="130">
        <v>5</v>
      </c>
      <c r="X28" s="130">
        <v>2</v>
      </c>
      <c r="Y28" s="130">
        <v>5</v>
      </c>
      <c r="Z28" s="130">
        <v>2</v>
      </c>
      <c r="AA28" s="130">
        <v>4</v>
      </c>
      <c r="AB28" s="130">
        <v>5</v>
      </c>
      <c r="AC28" s="130">
        <v>5</v>
      </c>
      <c r="AD28" s="130">
        <v>5</v>
      </c>
      <c r="AE28" s="130">
        <v>5</v>
      </c>
      <c r="AF28" s="130">
        <v>5</v>
      </c>
      <c r="AG28" s="130">
        <v>5</v>
      </c>
      <c r="AH28" s="130">
        <v>1</v>
      </c>
      <c r="AI28" s="126" t="s">
        <v>20</v>
      </c>
      <c r="AJ28" s="130">
        <v>9</v>
      </c>
      <c r="AK28" s="130">
        <v>3</v>
      </c>
      <c r="AL28" s="130">
        <v>9</v>
      </c>
      <c r="AM28" s="130">
        <v>5</v>
      </c>
      <c r="AN28" s="130">
        <v>5</v>
      </c>
      <c r="AO28" s="130">
        <v>5</v>
      </c>
      <c r="AP28" s="130">
        <v>4</v>
      </c>
      <c r="AQ28" s="130">
        <v>5</v>
      </c>
      <c r="AR28" s="130">
        <v>1</v>
      </c>
      <c r="AS28" s="130">
        <v>2</v>
      </c>
      <c r="AT28" s="130">
        <v>5</v>
      </c>
      <c r="AU28" s="130">
        <v>5</v>
      </c>
      <c r="AV28" s="130">
        <v>5</v>
      </c>
      <c r="AW28" s="130">
        <v>1</v>
      </c>
      <c r="AX28" s="130">
        <v>3</v>
      </c>
      <c r="AY28" s="130">
        <v>1</v>
      </c>
      <c r="AZ28" s="130">
        <v>2</v>
      </c>
      <c r="BA28" s="130">
        <v>1</v>
      </c>
      <c r="BB28" s="130">
        <v>2</v>
      </c>
      <c r="BC28" s="130">
        <v>4</v>
      </c>
      <c r="BD28" s="130">
        <v>3</v>
      </c>
      <c r="BE28" s="130">
        <v>4</v>
      </c>
      <c r="BF28" s="130">
        <v>0</v>
      </c>
      <c r="BG28" s="133" t="s">
        <v>305</v>
      </c>
      <c r="BH28" s="126"/>
      <c r="BI28" s="130">
        <v>1</v>
      </c>
      <c r="BJ28" s="126" t="s">
        <v>188</v>
      </c>
      <c r="BK28" s="126" t="s">
        <v>192</v>
      </c>
      <c r="BL28" s="126" t="s">
        <v>18</v>
      </c>
      <c r="BM28" s="126" t="s">
        <v>20</v>
      </c>
      <c r="BN28" s="130">
        <v>9</v>
      </c>
      <c r="BO28" s="126"/>
      <c r="BP28" s="126"/>
      <c r="BQ28" s="126"/>
      <c r="BR28" s="130"/>
      <c r="BS28" s="130"/>
      <c r="BT28" s="130"/>
      <c r="BU28" s="126"/>
      <c r="BV28" s="126"/>
      <c r="BW28" s="126"/>
      <c r="BX28" s="126"/>
      <c r="BY28" s="126"/>
      <c r="BZ28" s="130">
        <v>1</v>
      </c>
      <c r="CA28" s="126">
        <f t="shared" si="0"/>
        <v>5</v>
      </c>
      <c r="CB28" s="130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</row>
    <row r="29" spans="1:113" ht="13.2" x14ac:dyDescent="0.25">
      <c r="A29" s="129">
        <v>43591.361479803236</v>
      </c>
      <c r="B29" s="126" t="s">
        <v>291</v>
      </c>
      <c r="C29" s="126" t="s">
        <v>11</v>
      </c>
      <c r="D29" s="126" t="s">
        <v>16</v>
      </c>
      <c r="E29" s="126" t="s">
        <v>20</v>
      </c>
      <c r="F29" s="126" t="s">
        <v>26</v>
      </c>
      <c r="G29" s="126" t="s">
        <v>30</v>
      </c>
      <c r="H29" s="126" t="s">
        <v>38</v>
      </c>
      <c r="I29" s="126" t="s">
        <v>45</v>
      </c>
      <c r="J29" s="126" t="s">
        <v>49</v>
      </c>
      <c r="K29" s="126" t="s">
        <v>297</v>
      </c>
      <c r="L29" s="126" t="s">
        <v>55</v>
      </c>
      <c r="M29" s="130">
        <v>5</v>
      </c>
      <c r="N29" s="130">
        <v>3</v>
      </c>
      <c r="O29" s="130">
        <v>2</v>
      </c>
      <c r="P29" s="130">
        <v>5</v>
      </c>
      <c r="Q29" s="130">
        <v>3</v>
      </c>
      <c r="R29" s="130">
        <v>9</v>
      </c>
      <c r="S29" s="130">
        <v>5</v>
      </c>
      <c r="T29" s="130">
        <v>4</v>
      </c>
      <c r="U29" s="130">
        <v>4</v>
      </c>
      <c r="V29" s="130">
        <v>4</v>
      </c>
      <c r="W29" s="130">
        <v>5</v>
      </c>
      <c r="X29" s="130">
        <v>2</v>
      </c>
      <c r="Y29" s="130">
        <v>4</v>
      </c>
      <c r="Z29" s="130">
        <v>5</v>
      </c>
      <c r="AA29" s="130">
        <v>5</v>
      </c>
      <c r="AB29" s="130">
        <v>4</v>
      </c>
      <c r="AC29" s="130">
        <v>4</v>
      </c>
      <c r="AD29" s="130">
        <v>5</v>
      </c>
      <c r="AE29" s="130">
        <v>5</v>
      </c>
      <c r="AF29" s="130">
        <v>5</v>
      </c>
      <c r="AG29" s="130">
        <v>4</v>
      </c>
      <c r="AH29" s="130">
        <v>5</v>
      </c>
      <c r="AI29" s="126" t="s">
        <v>18</v>
      </c>
      <c r="AJ29" s="130">
        <v>5</v>
      </c>
      <c r="AK29" s="130">
        <v>5</v>
      </c>
      <c r="AL29" s="130">
        <v>1</v>
      </c>
      <c r="AM29" s="130">
        <v>5</v>
      </c>
      <c r="AN29" s="130">
        <v>5</v>
      </c>
      <c r="AO29" s="130">
        <v>5</v>
      </c>
      <c r="AP29" s="130">
        <v>5</v>
      </c>
      <c r="AQ29" s="130">
        <v>5</v>
      </c>
      <c r="AR29" s="130">
        <v>5</v>
      </c>
      <c r="AS29" s="130">
        <v>5</v>
      </c>
      <c r="AT29" s="130">
        <v>5</v>
      </c>
      <c r="AU29" s="130">
        <v>5</v>
      </c>
      <c r="AV29" s="130">
        <v>5</v>
      </c>
      <c r="AW29" s="130">
        <v>4</v>
      </c>
      <c r="AX29" s="130">
        <v>5</v>
      </c>
      <c r="AY29" s="130">
        <v>9</v>
      </c>
      <c r="AZ29" s="130">
        <v>9</v>
      </c>
      <c r="BA29" s="130">
        <v>9</v>
      </c>
      <c r="BB29" s="130">
        <v>9</v>
      </c>
      <c r="BC29" s="130">
        <v>9</v>
      </c>
      <c r="BD29" s="130">
        <v>9</v>
      </c>
      <c r="BE29" s="126" t="s">
        <v>292</v>
      </c>
      <c r="BF29" s="126" t="s">
        <v>292</v>
      </c>
      <c r="BG29" s="126" t="s">
        <v>292</v>
      </c>
      <c r="BH29" s="126"/>
      <c r="BI29" s="130">
        <v>1</v>
      </c>
      <c r="BJ29" s="126" t="s">
        <v>190</v>
      </c>
      <c r="BK29" s="126" t="s">
        <v>292</v>
      </c>
      <c r="BL29" s="126" t="s">
        <v>20</v>
      </c>
      <c r="BM29" s="126" t="s">
        <v>20</v>
      </c>
      <c r="BN29" s="130">
        <v>9</v>
      </c>
      <c r="BO29" s="126"/>
      <c r="BP29" s="126"/>
      <c r="BQ29" s="126"/>
      <c r="BR29" s="130"/>
      <c r="BS29" s="130"/>
      <c r="BT29" s="130"/>
      <c r="BU29" s="126"/>
      <c r="BV29" s="126"/>
      <c r="BW29" s="126"/>
      <c r="BX29" s="126"/>
      <c r="BY29" s="126"/>
      <c r="BZ29" s="130">
        <v>1</v>
      </c>
      <c r="CA29" s="126">
        <f t="shared" si="0"/>
        <v>5</v>
      </c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</row>
    <row r="30" spans="1:113" ht="13.2" x14ac:dyDescent="0.25">
      <c r="A30" s="129">
        <v>43591.363735219908</v>
      </c>
      <c r="B30" s="126" t="s">
        <v>293</v>
      </c>
      <c r="C30" s="126" t="s">
        <v>9</v>
      </c>
      <c r="D30" s="126" t="s">
        <v>16</v>
      </c>
      <c r="E30" s="126" t="s">
        <v>20</v>
      </c>
      <c r="F30" s="126" t="s">
        <v>26</v>
      </c>
      <c r="G30" s="126" t="s">
        <v>28</v>
      </c>
      <c r="H30" s="127" t="s">
        <v>40</v>
      </c>
      <c r="I30" s="126"/>
      <c r="J30" s="126" t="s">
        <v>21</v>
      </c>
      <c r="K30" s="126" t="s">
        <v>297</v>
      </c>
      <c r="L30" s="126" t="s">
        <v>61</v>
      </c>
      <c r="M30" s="130">
        <v>3</v>
      </c>
      <c r="N30" s="130">
        <v>3</v>
      </c>
      <c r="O30" s="130">
        <v>4</v>
      </c>
      <c r="P30" s="130">
        <v>5</v>
      </c>
      <c r="Q30" s="130">
        <v>2</v>
      </c>
      <c r="R30" s="130">
        <v>5</v>
      </c>
      <c r="S30" s="130">
        <v>5</v>
      </c>
      <c r="T30" s="130">
        <v>5</v>
      </c>
      <c r="U30" s="130">
        <v>5</v>
      </c>
      <c r="V30" s="130">
        <v>5</v>
      </c>
      <c r="W30" s="130">
        <v>5</v>
      </c>
      <c r="X30" s="130">
        <v>1</v>
      </c>
      <c r="Y30" s="130">
        <v>5</v>
      </c>
      <c r="Z30" s="130">
        <v>5</v>
      </c>
      <c r="AA30" s="130">
        <v>5</v>
      </c>
      <c r="AB30" s="130">
        <v>5</v>
      </c>
      <c r="AC30" s="130">
        <v>5</v>
      </c>
      <c r="AD30" s="130">
        <v>5</v>
      </c>
      <c r="AE30" s="130">
        <v>5</v>
      </c>
      <c r="AF30" s="130">
        <v>5</v>
      </c>
      <c r="AG30" s="130">
        <v>5</v>
      </c>
      <c r="AH30" s="130">
        <v>4</v>
      </c>
      <c r="AI30" s="126" t="s">
        <v>20</v>
      </c>
      <c r="AJ30" s="130">
        <v>9</v>
      </c>
      <c r="AK30" s="130">
        <v>5</v>
      </c>
      <c r="AL30" s="130">
        <v>1</v>
      </c>
      <c r="AM30" s="130">
        <v>5</v>
      </c>
      <c r="AN30" s="130">
        <v>5</v>
      </c>
      <c r="AO30" s="130">
        <v>5</v>
      </c>
      <c r="AP30" s="130">
        <v>5</v>
      </c>
      <c r="AQ30" s="130">
        <v>5</v>
      </c>
      <c r="AR30" s="130">
        <v>4</v>
      </c>
      <c r="AS30" s="130">
        <v>5</v>
      </c>
      <c r="AT30" s="130">
        <v>5</v>
      </c>
      <c r="AU30" s="130">
        <v>5</v>
      </c>
      <c r="AV30" s="130">
        <v>5</v>
      </c>
      <c r="AW30" s="130">
        <v>5</v>
      </c>
      <c r="AX30" s="130">
        <v>5</v>
      </c>
      <c r="AY30" s="130">
        <v>2</v>
      </c>
      <c r="AZ30" s="130">
        <v>2</v>
      </c>
      <c r="BA30" s="130">
        <v>1</v>
      </c>
      <c r="BB30" s="130">
        <v>1</v>
      </c>
      <c r="BC30" s="130">
        <v>5</v>
      </c>
      <c r="BD30" s="130">
        <v>5</v>
      </c>
      <c r="BE30" s="130">
        <v>2</v>
      </c>
      <c r="BF30" s="130">
        <v>0</v>
      </c>
      <c r="BG30" s="130">
        <v>1</v>
      </c>
      <c r="BH30" s="126" t="s">
        <v>306</v>
      </c>
      <c r="BI30" s="130">
        <v>9</v>
      </c>
      <c r="BJ30" s="126" t="s">
        <v>190</v>
      </c>
      <c r="BK30" s="126" t="s">
        <v>193</v>
      </c>
      <c r="BL30" s="126" t="s">
        <v>20</v>
      </c>
      <c r="BM30" s="126" t="s">
        <v>292</v>
      </c>
      <c r="BN30" s="130">
        <v>9</v>
      </c>
      <c r="BO30" s="126"/>
      <c r="BP30" s="126"/>
      <c r="BQ30" s="126"/>
      <c r="BR30" s="130"/>
      <c r="BS30" s="130"/>
      <c r="BT30" s="130"/>
      <c r="BU30" s="126"/>
      <c r="BV30" s="126"/>
      <c r="BW30" s="126"/>
      <c r="BX30" s="126"/>
      <c r="BY30" s="126"/>
      <c r="BZ30" s="130">
        <v>1</v>
      </c>
      <c r="CA30" s="126">
        <f t="shared" si="0"/>
        <v>5</v>
      </c>
      <c r="CB30" s="130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</row>
    <row r="31" spans="1:113" ht="13.2" x14ac:dyDescent="0.25">
      <c r="A31" s="129">
        <v>43591.365886979169</v>
      </c>
      <c r="B31" s="126" t="s">
        <v>293</v>
      </c>
      <c r="C31" s="126" t="s">
        <v>9</v>
      </c>
      <c r="D31" s="126" t="s">
        <v>16</v>
      </c>
      <c r="E31" s="126" t="s">
        <v>20</v>
      </c>
      <c r="F31" s="126" t="s">
        <v>26</v>
      </c>
      <c r="G31" s="126" t="s">
        <v>28</v>
      </c>
      <c r="H31" s="126" t="s">
        <v>38</v>
      </c>
      <c r="I31" s="126" t="s">
        <v>45</v>
      </c>
      <c r="J31" s="126" t="s">
        <v>49</v>
      </c>
      <c r="K31" s="126" t="s">
        <v>63</v>
      </c>
      <c r="L31" s="126" t="s">
        <v>63</v>
      </c>
      <c r="M31" s="130">
        <v>4</v>
      </c>
      <c r="N31" s="130">
        <v>2</v>
      </c>
      <c r="O31" s="130">
        <v>2</v>
      </c>
      <c r="P31" s="130">
        <v>5</v>
      </c>
      <c r="Q31" s="130">
        <v>5</v>
      </c>
      <c r="R31" s="130">
        <v>5</v>
      </c>
      <c r="S31" s="130">
        <v>5</v>
      </c>
      <c r="T31" s="130">
        <v>4</v>
      </c>
      <c r="U31" s="130">
        <v>2</v>
      </c>
      <c r="V31" s="130">
        <v>3</v>
      </c>
      <c r="W31" s="130">
        <v>5</v>
      </c>
      <c r="X31" s="130">
        <v>2</v>
      </c>
      <c r="Y31" s="130">
        <v>5</v>
      </c>
      <c r="Z31" s="130">
        <v>4</v>
      </c>
      <c r="AA31" s="130">
        <v>4</v>
      </c>
      <c r="AB31" s="130">
        <v>4</v>
      </c>
      <c r="AC31" s="130">
        <v>4</v>
      </c>
      <c r="AD31" s="130">
        <v>4</v>
      </c>
      <c r="AE31" s="130">
        <v>4</v>
      </c>
      <c r="AF31" s="130">
        <v>4</v>
      </c>
      <c r="AG31" s="130">
        <v>4</v>
      </c>
      <c r="AH31" s="130">
        <v>4</v>
      </c>
      <c r="AI31" s="126" t="s">
        <v>20</v>
      </c>
      <c r="AJ31" s="130">
        <v>4</v>
      </c>
      <c r="AK31" s="130">
        <v>4</v>
      </c>
      <c r="AL31" s="130">
        <v>1</v>
      </c>
      <c r="AM31" s="130">
        <v>5</v>
      </c>
      <c r="AN31" s="130">
        <v>4</v>
      </c>
      <c r="AO31" s="130">
        <v>5</v>
      </c>
      <c r="AP31" s="130">
        <v>5</v>
      </c>
      <c r="AQ31" s="130">
        <v>3</v>
      </c>
      <c r="AR31" s="130">
        <v>5</v>
      </c>
      <c r="AS31" s="130">
        <v>2</v>
      </c>
      <c r="AT31" s="130">
        <v>1</v>
      </c>
      <c r="AU31" s="130">
        <v>5</v>
      </c>
      <c r="AV31" s="130">
        <v>5</v>
      </c>
      <c r="AW31" s="130">
        <v>5</v>
      </c>
      <c r="AX31" s="130">
        <v>5</v>
      </c>
      <c r="AY31" s="130">
        <v>1</v>
      </c>
      <c r="AZ31" s="130">
        <v>2</v>
      </c>
      <c r="BA31" s="130">
        <v>1</v>
      </c>
      <c r="BB31" s="130">
        <v>1</v>
      </c>
      <c r="BC31" s="130">
        <v>5</v>
      </c>
      <c r="BD31" s="130">
        <v>5</v>
      </c>
      <c r="BE31" s="130">
        <v>1</v>
      </c>
      <c r="BF31" s="130">
        <v>0</v>
      </c>
      <c r="BG31" s="130">
        <v>0</v>
      </c>
      <c r="BH31" s="126"/>
      <c r="BI31" s="130">
        <v>1</v>
      </c>
      <c r="BJ31" s="126" t="s">
        <v>190</v>
      </c>
      <c r="BK31" s="126" t="s">
        <v>197</v>
      </c>
      <c r="BL31" s="126" t="s">
        <v>20</v>
      </c>
      <c r="BM31" s="126" t="s">
        <v>20</v>
      </c>
      <c r="BN31" s="130">
        <v>9</v>
      </c>
      <c r="BO31" s="126"/>
      <c r="BP31" s="126"/>
      <c r="BQ31" s="126"/>
      <c r="BR31" s="130"/>
      <c r="BS31" s="130"/>
      <c r="BT31" s="130"/>
      <c r="BU31" s="126"/>
      <c r="BV31" s="126"/>
      <c r="BW31" s="126"/>
      <c r="BX31" s="126"/>
      <c r="BY31" s="126"/>
      <c r="BZ31" s="130">
        <v>1</v>
      </c>
      <c r="CA31" s="126">
        <f t="shared" si="0"/>
        <v>5</v>
      </c>
      <c r="CB31" s="130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</row>
    <row r="32" spans="1:113" ht="13.5" customHeight="1" x14ac:dyDescent="0.25">
      <c r="A32" s="129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26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26"/>
      <c r="BI32" s="130"/>
      <c r="BJ32" s="126"/>
      <c r="BK32" s="126"/>
      <c r="BL32" s="126"/>
      <c r="BM32" s="126"/>
      <c r="BN32" s="130"/>
      <c r="BO32" s="126"/>
      <c r="BP32" s="126"/>
      <c r="BQ32" s="126"/>
      <c r="BR32" s="130"/>
      <c r="BS32" s="130"/>
      <c r="BT32" s="130"/>
      <c r="BU32" s="126"/>
      <c r="BV32" s="126"/>
      <c r="BW32" s="126"/>
      <c r="BX32" s="126"/>
      <c r="BY32" s="126"/>
      <c r="BZ32" s="130">
        <v>1</v>
      </c>
      <c r="CA32" s="126">
        <f t="shared" si="0"/>
        <v>5</v>
      </c>
      <c r="CB32" s="130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</row>
    <row r="33" spans="1:113" ht="13.2" x14ac:dyDescent="0.25">
      <c r="A33" s="129"/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26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26"/>
      <c r="BI33" s="130"/>
      <c r="BJ33" s="126"/>
      <c r="BK33" s="126"/>
      <c r="BL33" s="126"/>
      <c r="BM33" s="126"/>
      <c r="BN33" s="130"/>
      <c r="BO33" s="126"/>
      <c r="BP33" s="126"/>
      <c r="BQ33" s="126"/>
      <c r="BR33" s="130"/>
      <c r="BS33" s="130"/>
      <c r="BT33" s="130"/>
      <c r="BU33" s="126"/>
      <c r="BV33" s="126"/>
      <c r="BW33" s="126"/>
      <c r="BX33" s="126"/>
      <c r="BY33" s="126"/>
      <c r="BZ33" s="130">
        <v>1</v>
      </c>
      <c r="CA33" s="126">
        <f t="shared" si="0"/>
        <v>5</v>
      </c>
      <c r="CB33" s="130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</row>
    <row r="34" spans="1:113" ht="13.5" customHeight="1" x14ac:dyDescent="0.25">
      <c r="A34" s="129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26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26"/>
      <c r="BF34" s="126"/>
      <c r="BG34" s="126"/>
      <c r="BH34" s="126"/>
      <c r="BI34" s="130"/>
      <c r="BJ34" s="126"/>
      <c r="BK34" s="126"/>
      <c r="BL34" s="126"/>
      <c r="BM34" s="126"/>
      <c r="BN34" s="130"/>
      <c r="BO34" s="126"/>
      <c r="BP34" s="126"/>
      <c r="BQ34" s="126"/>
      <c r="BR34" s="130"/>
      <c r="BS34" s="130"/>
      <c r="BT34" s="130"/>
      <c r="BU34" s="126"/>
      <c r="BV34" s="126"/>
      <c r="BW34" s="126"/>
      <c r="BX34" s="126"/>
      <c r="BY34" s="126"/>
      <c r="BZ34" s="126"/>
      <c r="CA34" s="126"/>
      <c r="CB34" s="130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</row>
    <row r="35" spans="1:113" ht="13.2" x14ac:dyDescent="0.25">
      <c r="A35" s="129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6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26"/>
      <c r="BC35" s="130"/>
      <c r="BD35" s="130"/>
      <c r="BE35" s="130"/>
      <c r="BF35" s="130"/>
      <c r="BG35" s="130"/>
      <c r="BH35" s="126"/>
      <c r="BI35" s="130"/>
      <c r="BJ35" s="126"/>
      <c r="BK35" s="126"/>
      <c r="BL35" s="126"/>
      <c r="BM35" s="126"/>
      <c r="BN35" s="130"/>
      <c r="BO35" s="126"/>
      <c r="BP35" s="126"/>
      <c r="BQ35" s="126"/>
      <c r="BR35" s="130"/>
      <c r="BS35" s="130"/>
      <c r="BT35" s="130"/>
      <c r="BU35" s="126"/>
      <c r="BV35" s="126"/>
      <c r="BW35" s="126"/>
      <c r="BX35" s="126"/>
      <c r="BY35" s="126"/>
      <c r="BZ35" s="126"/>
      <c r="CA35" s="126"/>
      <c r="CB35" s="130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</row>
    <row r="36" spans="1:113" ht="13.2" x14ac:dyDescent="0.25">
      <c r="A36" s="129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26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26"/>
      <c r="BI36" s="130"/>
      <c r="BJ36" s="126"/>
      <c r="BK36" s="126"/>
      <c r="BL36" s="126"/>
      <c r="BM36" s="126"/>
      <c r="BN36" s="130"/>
      <c r="BO36" s="126"/>
      <c r="BP36" s="126"/>
      <c r="BQ36" s="126"/>
      <c r="BR36" s="130"/>
      <c r="BS36" s="130"/>
      <c r="BT36" s="130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</row>
    <row r="37" spans="1:113" ht="13.2" x14ac:dyDescent="0.25">
      <c r="A37" s="129"/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26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26"/>
      <c r="BI37" s="130"/>
      <c r="BJ37" s="126"/>
      <c r="BK37" s="126"/>
      <c r="BL37" s="126"/>
      <c r="BM37" s="126"/>
      <c r="BN37" s="130"/>
      <c r="BO37" s="126"/>
      <c r="BP37" s="126"/>
      <c r="BQ37" s="126"/>
      <c r="BR37" s="130"/>
      <c r="BS37" s="130"/>
      <c r="BT37" s="130"/>
      <c r="BU37" s="126"/>
      <c r="BV37" s="126"/>
      <c r="BW37" s="126"/>
      <c r="BX37" s="126"/>
      <c r="BY37" s="126"/>
      <c r="BZ37" s="126"/>
      <c r="CA37" s="126"/>
      <c r="CB37" s="130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</row>
    <row r="38" spans="1:113" ht="13.2" x14ac:dyDescent="0.25">
      <c r="A38" s="129"/>
      <c r="B38" s="126"/>
      <c r="C38" s="126"/>
      <c r="D38" s="126"/>
      <c r="E38" s="126"/>
      <c r="F38" s="126"/>
      <c r="G38" s="126"/>
      <c r="H38" s="127"/>
      <c r="I38" s="126"/>
      <c r="J38" s="126"/>
      <c r="K38" s="126"/>
      <c r="L38" s="126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26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26"/>
      <c r="BF38" s="126"/>
      <c r="BG38" s="126"/>
      <c r="BH38" s="126"/>
      <c r="BI38" s="130"/>
      <c r="BJ38" s="126"/>
      <c r="BK38" s="126"/>
      <c r="BL38" s="126"/>
      <c r="BM38" s="126"/>
      <c r="BN38" s="130"/>
      <c r="BO38" s="126"/>
      <c r="BP38" s="126"/>
      <c r="BQ38" s="126"/>
      <c r="BR38" s="130"/>
      <c r="BS38" s="130"/>
      <c r="BT38" s="130"/>
      <c r="BU38" s="126"/>
      <c r="BV38" s="126"/>
      <c r="BW38" s="126"/>
      <c r="BX38" s="126"/>
      <c r="BY38" s="126"/>
      <c r="BZ38" s="126"/>
      <c r="CA38" s="126"/>
      <c r="CB38" s="130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</row>
    <row r="39" spans="1:113" ht="13.5" customHeight="1" x14ac:dyDescent="0.25">
      <c r="A39" s="129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26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26"/>
      <c r="BI39" s="130"/>
      <c r="BJ39" s="126"/>
      <c r="BK39" s="126"/>
      <c r="BL39" s="126"/>
      <c r="BM39" s="126"/>
      <c r="BN39" s="130"/>
      <c r="BO39" s="126"/>
      <c r="BP39" s="126"/>
      <c r="BQ39" s="126"/>
      <c r="BR39" s="130"/>
      <c r="BS39" s="130"/>
      <c r="BT39" s="130"/>
      <c r="BU39" s="126"/>
      <c r="BV39" s="126"/>
      <c r="BW39" s="126"/>
      <c r="BX39" s="126"/>
      <c r="BY39" s="126"/>
      <c r="BZ39" s="126"/>
      <c r="CA39" s="126"/>
      <c r="CB39" s="130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</row>
    <row r="40" spans="1:113" ht="13.2" x14ac:dyDescent="0.25">
      <c r="A40" s="129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26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26"/>
      <c r="BG40" s="130"/>
      <c r="BH40" s="126"/>
      <c r="BI40" s="130"/>
      <c r="BJ40" s="126"/>
      <c r="BK40" s="126"/>
      <c r="BL40" s="126"/>
      <c r="BM40" s="126"/>
      <c r="BN40" s="130"/>
      <c r="BO40" s="126"/>
      <c r="BP40" s="126"/>
      <c r="BQ40" s="126"/>
      <c r="BR40" s="130"/>
      <c r="BS40" s="130"/>
      <c r="BT40" s="130"/>
      <c r="BU40" s="126"/>
      <c r="BV40" s="126"/>
      <c r="BW40" s="126"/>
      <c r="BX40" s="126"/>
      <c r="BY40" s="126"/>
      <c r="BZ40" s="126"/>
      <c r="CA40" s="126"/>
      <c r="CB40" s="130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</row>
    <row r="41" spans="1:113" ht="13.2" x14ac:dyDescent="0.25">
      <c r="A41" s="129"/>
      <c r="B41" s="126"/>
      <c r="C41" s="126"/>
      <c r="D41" s="126"/>
      <c r="E41" s="126"/>
      <c r="F41" s="126"/>
      <c r="G41" s="126"/>
      <c r="H41" s="127"/>
      <c r="I41" s="126"/>
      <c r="J41" s="126"/>
      <c r="K41" s="126"/>
      <c r="L41" s="126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26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26"/>
      <c r="BF41" s="126"/>
      <c r="BG41" s="126"/>
      <c r="BH41" s="126"/>
      <c r="BI41" s="130"/>
      <c r="BJ41" s="126"/>
      <c r="BK41" s="126"/>
      <c r="BL41" s="126"/>
      <c r="BM41" s="126"/>
      <c r="BN41" s="130"/>
      <c r="BO41" s="126"/>
      <c r="BP41" s="126"/>
      <c r="BQ41" s="126"/>
      <c r="BR41" s="130"/>
      <c r="BS41" s="130"/>
      <c r="BT41" s="130"/>
      <c r="BU41" s="126"/>
      <c r="BV41" s="126"/>
      <c r="BW41" s="126"/>
      <c r="BX41" s="126"/>
      <c r="BY41" s="126"/>
      <c r="BZ41" s="126"/>
      <c r="CA41" s="126"/>
      <c r="CB41" s="130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</row>
    <row r="42" spans="1:113" ht="13.2" x14ac:dyDescent="0.25">
      <c r="A42" s="129"/>
      <c r="B42" s="126"/>
      <c r="C42" s="126"/>
      <c r="D42" s="126"/>
      <c r="E42" s="126"/>
      <c r="F42" s="126"/>
      <c r="G42" s="126"/>
      <c r="H42" s="127"/>
      <c r="I42" s="126"/>
      <c r="J42" s="126"/>
      <c r="K42" s="126"/>
      <c r="L42" s="126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26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26"/>
      <c r="BF42" s="126"/>
      <c r="BG42" s="126"/>
      <c r="BH42" s="126"/>
      <c r="BI42" s="130"/>
      <c r="BJ42" s="126"/>
      <c r="BK42" s="126"/>
      <c r="BL42" s="126"/>
      <c r="BM42" s="126"/>
      <c r="BN42" s="130"/>
      <c r="BO42" s="126"/>
      <c r="BP42" s="126"/>
      <c r="BQ42" s="126"/>
      <c r="BR42" s="130"/>
      <c r="BS42" s="130"/>
      <c r="BT42" s="130"/>
      <c r="BU42" s="126"/>
      <c r="BV42" s="126"/>
      <c r="BW42" s="126"/>
      <c r="BX42" s="126"/>
      <c r="BY42" s="126"/>
      <c r="BZ42" s="126"/>
      <c r="CA42" s="126"/>
      <c r="CB42" s="130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</row>
    <row r="43" spans="1:113" ht="13.5" customHeight="1" x14ac:dyDescent="0.25">
      <c r="A43" s="129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26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26"/>
      <c r="BI43" s="130"/>
      <c r="BJ43" s="126"/>
      <c r="BK43" s="126"/>
      <c r="BL43" s="126"/>
      <c r="BM43" s="126"/>
      <c r="BN43" s="130"/>
      <c r="BO43" s="126"/>
      <c r="BP43" s="126"/>
      <c r="BQ43" s="126"/>
      <c r="BR43" s="130"/>
      <c r="BS43" s="130"/>
      <c r="BT43" s="130"/>
      <c r="BU43" s="126"/>
      <c r="BV43" s="126"/>
      <c r="BW43" s="126"/>
      <c r="BX43" s="126"/>
      <c r="BY43" s="126"/>
      <c r="BZ43" s="126"/>
      <c r="CA43" s="126"/>
      <c r="CB43" s="130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</row>
    <row r="44" spans="1:113" ht="13.2" x14ac:dyDescent="0.25">
      <c r="A44" s="129"/>
      <c r="B44" s="126"/>
      <c r="C44" s="126"/>
      <c r="D44" s="126"/>
      <c r="E44" s="126"/>
      <c r="F44" s="126"/>
      <c r="G44" s="126"/>
      <c r="H44" s="127"/>
      <c r="I44" s="126"/>
      <c r="J44" s="126"/>
      <c r="K44" s="126"/>
      <c r="L44" s="126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26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26"/>
      <c r="BF44" s="126"/>
      <c r="BG44" s="126"/>
      <c r="BH44" s="126"/>
      <c r="BI44" s="130"/>
      <c r="BJ44" s="126"/>
      <c r="BK44" s="126"/>
      <c r="BL44" s="126"/>
      <c r="BM44" s="126"/>
      <c r="BN44" s="130"/>
      <c r="BO44" s="126"/>
      <c r="BP44" s="126"/>
      <c r="BQ44" s="126"/>
      <c r="BR44" s="130"/>
      <c r="BS44" s="130"/>
      <c r="BT44" s="130"/>
      <c r="BU44" s="126"/>
      <c r="BV44" s="126"/>
      <c r="BW44" s="126"/>
      <c r="BX44" s="126"/>
      <c r="BY44" s="126"/>
      <c r="BZ44" s="126"/>
      <c r="CA44" s="126"/>
      <c r="CB44" s="130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</row>
    <row r="45" spans="1:113" ht="13.2" x14ac:dyDescent="0.25">
      <c r="A45" s="129"/>
      <c r="B45" s="126"/>
      <c r="C45" s="126"/>
      <c r="D45" s="126"/>
      <c r="E45" s="126"/>
      <c r="F45" s="126"/>
      <c r="G45" s="126"/>
      <c r="H45" s="127"/>
      <c r="I45" s="126"/>
      <c r="J45" s="126"/>
      <c r="K45" s="126"/>
      <c r="L45" s="126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26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26"/>
      <c r="BF45" s="126"/>
      <c r="BG45" s="126"/>
      <c r="BH45" s="126"/>
      <c r="BI45" s="130"/>
      <c r="BJ45" s="126"/>
      <c r="BK45" s="126"/>
      <c r="BL45" s="126"/>
      <c r="BM45" s="126"/>
      <c r="BN45" s="130"/>
      <c r="BO45" s="126"/>
      <c r="BP45" s="126"/>
      <c r="BQ45" s="126"/>
      <c r="BR45" s="130"/>
      <c r="BS45" s="130"/>
      <c r="BT45" s="130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</row>
    <row r="46" spans="1:113" ht="13.2" x14ac:dyDescent="0.25">
      <c r="A46" s="129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26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26"/>
      <c r="BI46" s="130"/>
      <c r="BJ46" s="126"/>
      <c r="BK46" s="126"/>
      <c r="BL46" s="126"/>
      <c r="BM46" s="126"/>
      <c r="BN46" s="130"/>
      <c r="BO46" s="126"/>
      <c r="BP46" s="126"/>
      <c r="BQ46" s="126"/>
      <c r="BR46" s="130"/>
      <c r="BS46" s="130"/>
      <c r="BT46" s="130"/>
      <c r="BU46" s="126"/>
      <c r="BV46" s="126"/>
      <c r="BW46" s="126"/>
      <c r="BX46" s="126"/>
      <c r="BY46" s="126"/>
      <c r="BZ46" s="126"/>
      <c r="CA46" s="126"/>
      <c r="CB46" s="130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</row>
    <row r="47" spans="1:113" ht="13.2" x14ac:dyDescent="0.25">
      <c r="A47" s="129"/>
      <c r="B47" s="126"/>
      <c r="C47" s="126"/>
      <c r="D47" s="126"/>
      <c r="E47" s="126"/>
      <c r="F47" s="126"/>
      <c r="G47" s="126"/>
      <c r="H47" s="127"/>
      <c r="I47" s="126"/>
      <c r="J47" s="126"/>
      <c r="K47" s="126"/>
      <c r="L47" s="126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26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26"/>
      <c r="BF47" s="126"/>
      <c r="BG47" s="126"/>
      <c r="BH47" s="126"/>
      <c r="BI47" s="130"/>
      <c r="BJ47" s="126"/>
      <c r="BK47" s="126"/>
      <c r="BL47" s="126"/>
      <c r="BM47" s="126"/>
      <c r="BN47" s="130"/>
      <c r="BO47" s="126"/>
      <c r="BP47" s="126"/>
      <c r="BQ47" s="126"/>
      <c r="BR47" s="130"/>
      <c r="BS47" s="130"/>
      <c r="BT47" s="130"/>
      <c r="BU47" s="126"/>
      <c r="BV47" s="126"/>
      <c r="BW47" s="126"/>
      <c r="BX47" s="126"/>
      <c r="BY47" s="126"/>
      <c r="BZ47" s="126"/>
      <c r="CA47" s="126"/>
      <c r="CB47" s="130"/>
      <c r="CC47" s="126"/>
      <c r="CD47" s="126"/>
      <c r="CE47" s="126"/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126"/>
      <c r="DI47" s="126"/>
    </row>
    <row r="48" spans="1:113" ht="13.5" customHeight="1" x14ac:dyDescent="0.25">
      <c r="A48" s="129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26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26"/>
      <c r="BI48" s="130"/>
      <c r="BJ48" s="131"/>
      <c r="BK48" s="126"/>
      <c r="BL48" s="126"/>
      <c r="BM48" s="126"/>
      <c r="BN48" s="130"/>
      <c r="BO48" s="126"/>
      <c r="BP48" s="126"/>
      <c r="BQ48" s="126"/>
      <c r="BR48" s="130"/>
      <c r="BS48" s="130"/>
      <c r="BT48" s="130"/>
      <c r="BU48" s="126"/>
      <c r="BV48" s="126"/>
      <c r="BW48" s="126"/>
      <c r="BX48" s="126"/>
      <c r="BY48" s="126"/>
      <c r="BZ48" s="126"/>
      <c r="CA48" s="126"/>
      <c r="CB48" s="130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</row>
    <row r="49" spans="1:113" ht="13.2" x14ac:dyDescent="0.25">
      <c r="A49" s="129"/>
      <c r="B49" s="126"/>
      <c r="C49" s="126"/>
      <c r="D49" s="126"/>
      <c r="E49" s="126"/>
      <c r="F49" s="126"/>
      <c r="G49" s="126"/>
      <c r="H49" s="127"/>
      <c r="I49" s="126"/>
      <c r="J49" s="126"/>
      <c r="K49" s="126"/>
      <c r="L49" s="126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26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26"/>
      <c r="BF49" s="126"/>
      <c r="BG49" s="126"/>
      <c r="BH49" s="126"/>
      <c r="BI49" s="130"/>
      <c r="BJ49" s="126"/>
      <c r="BK49" s="126"/>
      <c r="BL49" s="126"/>
      <c r="BM49" s="126"/>
      <c r="BN49" s="130"/>
      <c r="BO49" s="126"/>
      <c r="BP49" s="126"/>
      <c r="BQ49" s="126"/>
      <c r="BR49" s="130"/>
      <c r="BS49" s="130"/>
      <c r="BT49" s="130"/>
      <c r="BU49" s="126"/>
      <c r="BV49" s="126"/>
      <c r="BW49" s="126"/>
      <c r="BX49" s="126"/>
      <c r="BY49" s="126"/>
      <c r="BZ49" s="126"/>
      <c r="CA49" s="126"/>
      <c r="CB49" s="130"/>
      <c r="CC49" s="126"/>
      <c r="CD49" s="126"/>
      <c r="CE49" s="126"/>
      <c r="CF49" s="126"/>
      <c r="CG49" s="126"/>
      <c r="CH49" s="126"/>
      <c r="CI49" s="126"/>
      <c r="CJ49" s="126"/>
      <c r="CK49" s="126"/>
      <c r="CL49" s="126"/>
      <c r="CM49" s="126"/>
      <c r="CN49" s="126"/>
      <c r="CO49" s="126"/>
      <c r="CP49" s="126"/>
      <c r="CQ49" s="126"/>
      <c r="CR49" s="126"/>
      <c r="CS49" s="126"/>
      <c r="CT49" s="126"/>
      <c r="CU49" s="126"/>
      <c r="CV49" s="126"/>
      <c r="CW49" s="126"/>
      <c r="CX49" s="126"/>
      <c r="CY49" s="126"/>
      <c r="CZ49" s="126"/>
      <c r="DA49" s="126"/>
      <c r="DB49" s="126"/>
      <c r="DC49" s="126"/>
      <c r="DD49" s="126"/>
      <c r="DE49" s="126"/>
      <c r="DF49" s="126"/>
      <c r="DG49" s="126"/>
      <c r="DH49" s="126"/>
      <c r="DI49" s="126"/>
    </row>
    <row r="50" spans="1:113" ht="13.5" customHeight="1" x14ac:dyDescent="0.25">
      <c r="A50" s="129"/>
      <c r="B50" s="126"/>
      <c r="C50" s="126"/>
      <c r="D50" s="126"/>
      <c r="E50" s="126"/>
      <c r="F50" s="126"/>
      <c r="G50" s="126"/>
      <c r="H50" s="127"/>
      <c r="I50" s="126"/>
      <c r="J50" s="126"/>
      <c r="K50" s="126"/>
      <c r="L50" s="126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26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26"/>
      <c r="BF50" s="126"/>
      <c r="BG50" s="126"/>
      <c r="BH50" s="126"/>
      <c r="BI50" s="130"/>
      <c r="BJ50" s="126"/>
      <c r="BK50" s="126"/>
      <c r="BL50" s="126"/>
      <c r="BM50" s="126"/>
      <c r="BN50" s="130"/>
      <c r="BO50" s="126"/>
      <c r="BP50" s="126"/>
      <c r="BQ50" s="126"/>
      <c r="BR50" s="130"/>
      <c r="BS50" s="130"/>
      <c r="BT50" s="130"/>
      <c r="BU50" s="126"/>
      <c r="BV50" s="126"/>
      <c r="BW50" s="126"/>
      <c r="BX50" s="126"/>
      <c r="BY50" s="126"/>
      <c r="BZ50" s="126"/>
      <c r="CA50" s="126"/>
      <c r="CB50" s="130"/>
      <c r="CC50" s="126"/>
      <c r="CD50" s="126"/>
      <c r="CE50" s="126"/>
      <c r="CF50" s="126"/>
      <c r="CG50" s="126"/>
      <c r="CH50" s="126"/>
      <c r="CI50" s="126"/>
      <c r="CJ50" s="126"/>
      <c r="CK50" s="126"/>
      <c r="CL50" s="126"/>
      <c r="CM50" s="126"/>
      <c r="CN50" s="126"/>
      <c r="CO50" s="126"/>
      <c r="CP50" s="126"/>
      <c r="CQ50" s="126"/>
      <c r="CR50" s="126"/>
      <c r="CS50" s="126"/>
      <c r="CT50" s="126"/>
      <c r="CU50" s="126"/>
      <c r="CV50" s="126"/>
      <c r="CW50" s="126"/>
      <c r="CX50" s="126"/>
      <c r="CY50" s="126"/>
      <c r="CZ50" s="126"/>
      <c r="DA50" s="126"/>
      <c r="DB50" s="126"/>
      <c r="DC50" s="126"/>
      <c r="DD50" s="126"/>
      <c r="DE50" s="126"/>
      <c r="DF50" s="126"/>
      <c r="DG50" s="126"/>
      <c r="DH50" s="126"/>
      <c r="DI50" s="126"/>
    </row>
    <row r="51" spans="1:113" ht="13.2" x14ac:dyDescent="0.25">
      <c r="A51" s="129"/>
      <c r="B51" s="126"/>
      <c r="C51" s="126"/>
      <c r="D51" s="126"/>
      <c r="E51" s="126"/>
      <c r="F51" s="126"/>
      <c r="G51" s="126"/>
      <c r="H51" s="127"/>
      <c r="I51" s="126"/>
      <c r="J51" s="126"/>
      <c r="K51" s="126"/>
      <c r="L51" s="126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26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26"/>
      <c r="BF51" s="126"/>
      <c r="BG51" s="126"/>
      <c r="BH51" s="126"/>
      <c r="BI51" s="130"/>
      <c r="BJ51" s="126"/>
      <c r="BK51" s="126"/>
      <c r="BL51" s="126"/>
      <c r="BM51" s="126"/>
      <c r="BN51" s="130"/>
      <c r="BO51" s="126"/>
      <c r="BP51" s="126"/>
      <c r="BQ51" s="126"/>
      <c r="BR51" s="130"/>
      <c r="BS51" s="130"/>
      <c r="BT51" s="130"/>
      <c r="BU51" s="126"/>
      <c r="BV51" s="126"/>
      <c r="BW51" s="126"/>
      <c r="BX51" s="126"/>
      <c r="BY51" s="126"/>
      <c r="BZ51" s="126"/>
      <c r="CA51" s="126"/>
      <c r="CB51" s="130"/>
      <c r="CC51" s="126"/>
      <c r="CD51" s="126"/>
      <c r="CE51" s="126"/>
      <c r="CF51" s="126"/>
      <c r="CG51" s="126"/>
      <c r="CH51" s="126"/>
      <c r="CI51" s="126"/>
      <c r="CJ51" s="126"/>
      <c r="CK51" s="126"/>
      <c r="CL51" s="126"/>
      <c r="CM51" s="126"/>
      <c r="CN51" s="126"/>
      <c r="CO51" s="126"/>
      <c r="CP51" s="126"/>
      <c r="CQ51" s="126"/>
      <c r="CR51" s="126"/>
      <c r="CS51" s="126"/>
      <c r="CT51" s="126"/>
      <c r="CU51" s="126"/>
      <c r="CV51" s="126"/>
      <c r="CW51" s="126"/>
      <c r="CX51" s="126"/>
      <c r="CY51" s="126"/>
      <c r="CZ51" s="126"/>
      <c r="DA51" s="126"/>
      <c r="DB51" s="126"/>
      <c r="DC51" s="126"/>
      <c r="DD51" s="126"/>
      <c r="DE51" s="126"/>
      <c r="DF51" s="126"/>
      <c r="DG51" s="126"/>
      <c r="DH51" s="126"/>
      <c r="DI51" s="126"/>
    </row>
    <row r="52" spans="1:113" ht="13.2" x14ac:dyDescent="0.25">
      <c r="A52" s="129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26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26"/>
      <c r="BF52" s="126"/>
      <c r="BG52" s="126"/>
      <c r="BH52" s="126"/>
      <c r="BI52" s="130"/>
      <c r="BJ52" s="126"/>
      <c r="BK52" s="126"/>
      <c r="BL52" s="126"/>
      <c r="BM52" s="126"/>
      <c r="BN52" s="130"/>
      <c r="BO52" s="126"/>
      <c r="BP52" s="126"/>
      <c r="BQ52" s="126"/>
      <c r="BR52" s="130"/>
      <c r="BS52" s="130"/>
      <c r="BT52" s="130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6"/>
      <c r="CH52" s="126"/>
      <c r="CI52" s="126"/>
      <c r="CJ52" s="126"/>
      <c r="CK52" s="126"/>
      <c r="CL52" s="126"/>
      <c r="CM52" s="126"/>
      <c r="CN52" s="126"/>
      <c r="CO52" s="126"/>
      <c r="CP52" s="126"/>
      <c r="CQ52" s="126"/>
      <c r="CR52" s="126"/>
      <c r="CS52" s="126"/>
      <c r="CT52" s="126"/>
      <c r="CU52" s="126"/>
      <c r="CV52" s="126"/>
      <c r="CW52" s="126"/>
      <c r="CX52" s="126"/>
      <c r="CY52" s="126"/>
      <c r="CZ52" s="126"/>
      <c r="DA52" s="126"/>
      <c r="DB52" s="126"/>
      <c r="DC52" s="126"/>
      <c r="DD52" s="126"/>
      <c r="DE52" s="126"/>
      <c r="DF52" s="126"/>
      <c r="DG52" s="126"/>
      <c r="DH52" s="126"/>
      <c r="DI52" s="126"/>
    </row>
    <row r="53" spans="1:113" ht="13.2" x14ac:dyDescent="0.25">
      <c r="A53" s="129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26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26"/>
      <c r="BG53" s="126"/>
      <c r="BH53" s="126"/>
      <c r="BI53" s="130"/>
      <c r="BJ53" s="126"/>
      <c r="BK53" s="126"/>
      <c r="BL53" s="126"/>
      <c r="BM53" s="126"/>
      <c r="BN53" s="130"/>
      <c r="BO53" s="126"/>
      <c r="BP53" s="128"/>
      <c r="BQ53" s="126"/>
      <c r="BR53" s="130"/>
      <c r="BS53" s="130"/>
      <c r="BT53" s="130"/>
      <c r="BU53" s="126"/>
      <c r="BV53" s="126"/>
      <c r="BW53" s="126"/>
      <c r="BX53" s="126"/>
      <c r="BY53" s="126"/>
      <c r="BZ53" s="126"/>
      <c r="CA53" s="126"/>
      <c r="CB53" s="130"/>
      <c r="CC53" s="126"/>
      <c r="CD53" s="126"/>
      <c r="CE53" s="126"/>
      <c r="CF53" s="126"/>
      <c r="CG53" s="126"/>
      <c r="CH53" s="126"/>
      <c r="CI53" s="126"/>
      <c r="CJ53" s="126"/>
      <c r="CK53" s="126"/>
      <c r="CL53" s="126"/>
      <c r="CM53" s="126"/>
      <c r="CN53" s="126"/>
      <c r="CO53" s="126"/>
      <c r="CP53" s="126"/>
      <c r="CQ53" s="126"/>
      <c r="CR53" s="126"/>
      <c r="CS53" s="126"/>
      <c r="CT53" s="126"/>
      <c r="CU53" s="126"/>
      <c r="CV53" s="126"/>
      <c r="CW53" s="126"/>
      <c r="CX53" s="126"/>
      <c r="CY53" s="126"/>
      <c r="CZ53" s="126"/>
      <c r="DA53" s="126"/>
      <c r="DB53" s="126"/>
      <c r="DC53" s="126"/>
      <c r="DD53" s="126"/>
      <c r="DE53" s="126"/>
      <c r="DF53" s="126"/>
      <c r="DG53" s="126"/>
      <c r="DH53" s="126"/>
      <c r="DI53" s="126"/>
    </row>
    <row r="54" spans="1:113" ht="13.2" x14ac:dyDescent="0.25">
      <c r="A54" s="129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26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26"/>
      <c r="BG54" s="126"/>
      <c r="BH54" s="126"/>
      <c r="BI54" s="130"/>
      <c r="BJ54" s="131"/>
      <c r="BK54" s="126"/>
      <c r="BL54" s="126"/>
      <c r="BM54" s="126"/>
      <c r="BN54" s="130"/>
      <c r="BO54" s="126"/>
      <c r="BP54" s="126"/>
      <c r="BQ54" s="126"/>
      <c r="BR54" s="130"/>
      <c r="BS54" s="130"/>
      <c r="BT54" s="130"/>
      <c r="BU54" s="126"/>
      <c r="BV54" s="126"/>
      <c r="BW54" s="126"/>
      <c r="BX54" s="126"/>
      <c r="BY54" s="126"/>
      <c r="BZ54" s="126"/>
      <c r="CA54" s="126"/>
      <c r="CB54" s="130"/>
      <c r="CC54" s="126"/>
      <c r="CD54" s="126"/>
      <c r="CE54" s="126"/>
      <c r="CF54" s="126"/>
      <c r="CG54" s="126"/>
      <c r="CH54" s="126"/>
      <c r="CI54" s="126"/>
      <c r="CJ54" s="126"/>
      <c r="CK54" s="126"/>
      <c r="CL54" s="126"/>
      <c r="CM54" s="126"/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6"/>
      <c r="CZ54" s="126"/>
      <c r="DA54" s="126"/>
      <c r="DB54" s="126"/>
      <c r="DC54" s="126"/>
      <c r="DD54" s="126"/>
      <c r="DE54" s="126"/>
      <c r="DF54" s="126"/>
      <c r="DG54" s="126"/>
      <c r="DH54" s="126"/>
      <c r="DI54" s="126"/>
    </row>
    <row r="55" spans="1:113" ht="13.5" customHeight="1" x14ac:dyDescent="0.25">
      <c r="A55" s="129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26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26"/>
      <c r="BG55" s="126"/>
      <c r="BH55" s="126"/>
      <c r="BI55" s="130"/>
      <c r="BJ55" s="126"/>
      <c r="BK55" s="126"/>
      <c r="BL55" s="126"/>
      <c r="BM55" s="126"/>
      <c r="BN55" s="130"/>
      <c r="BO55" s="126"/>
      <c r="BP55" s="126"/>
      <c r="BQ55" s="126"/>
      <c r="BR55" s="130"/>
      <c r="BS55" s="130"/>
      <c r="BT55" s="130"/>
      <c r="BU55" s="126"/>
      <c r="BV55" s="126"/>
      <c r="BW55" s="126"/>
      <c r="BX55" s="126"/>
      <c r="BY55" s="126"/>
      <c r="BZ55" s="126"/>
      <c r="CA55" s="126"/>
      <c r="CB55" s="130"/>
      <c r="CC55" s="126"/>
      <c r="CD55" s="126"/>
      <c r="CE55" s="126"/>
      <c r="CF55" s="126"/>
      <c r="CG55" s="126"/>
      <c r="CH55" s="126"/>
      <c r="CI55" s="126"/>
      <c r="CJ55" s="126"/>
      <c r="CK55" s="126"/>
      <c r="CL55" s="126"/>
      <c r="CM55" s="126"/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6"/>
      <c r="CZ55" s="126"/>
      <c r="DA55" s="126"/>
      <c r="DB55" s="126"/>
      <c r="DC55" s="126"/>
      <c r="DD55" s="126"/>
      <c r="DE55" s="126"/>
      <c r="DF55" s="126"/>
      <c r="DG55" s="126"/>
      <c r="DH55" s="126"/>
      <c r="DI55" s="126"/>
    </row>
    <row r="56" spans="1:113" ht="13.2" x14ac:dyDescent="0.25">
      <c r="A56" s="129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26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26"/>
      <c r="BG56" s="126"/>
      <c r="BH56" s="126"/>
      <c r="BI56" s="130"/>
      <c r="BJ56" s="126"/>
      <c r="BK56" s="126"/>
      <c r="BL56" s="126"/>
      <c r="BM56" s="126"/>
      <c r="BN56" s="130"/>
      <c r="BO56" s="126"/>
      <c r="BP56" s="126"/>
      <c r="BQ56" s="126"/>
      <c r="BR56" s="130"/>
      <c r="BS56" s="130"/>
      <c r="BT56" s="130"/>
      <c r="BU56" s="126"/>
      <c r="BV56" s="126"/>
      <c r="BW56" s="126"/>
      <c r="BX56" s="126"/>
      <c r="BY56" s="126"/>
      <c r="BZ56" s="126"/>
      <c r="CA56" s="126"/>
      <c r="CB56" s="130"/>
      <c r="CC56" s="126"/>
      <c r="CD56" s="126"/>
      <c r="CE56" s="126"/>
      <c r="CF56" s="126"/>
      <c r="CG56" s="126"/>
      <c r="CH56" s="126"/>
      <c r="CI56" s="126"/>
      <c r="CJ56" s="126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6"/>
      <c r="DB56" s="126"/>
      <c r="DC56" s="126"/>
      <c r="DD56" s="126"/>
      <c r="DE56" s="126"/>
      <c r="DF56" s="126"/>
      <c r="DG56" s="126"/>
      <c r="DH56" s="126"/>
      <c r="DI56" s="126"/>
    </row>
    <row r="57" spans="1:113" ht="13.5" customHeight="1" x14ac:dyDescent="0.25">
      <c r="A57" s="129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26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26"/>
      <c r="BG57" s="130"/>
      <c r="BH57" s="126"/>
      <c r="BI57" s="130"/>
      <c r="BJ57" s="126"/>
      <c r="BK57" s="126"/>
      <c r="BL57" s="126"/>
      <c r="BM57" s="126"/>
      <c r="BN57" s="130"/>
      <c r="BO57" s="126"/>
      <c r="BP57" s="126"/>
      <c r="BQ57" s="126"/>
      <c r="BR57" s="130"/>
      <c r="BS57" s="130"/>
      <c r="BT57" s="130"/>
      <c r="BU57" s="126"/>
      <c r="BV57" s="126"/>
      <c r="BW57" s="126"/>
      <c r="BX57" s="126"/>
      <c r="BY57" s="126"/>
      <c r="BZ57" s="126"/>
      <c r="CA57" s="126"/>
      <c r="CB57" s="130"/>
      <c r="CC57" s="126"/>
      <c r="CD57" s="126"/>
      <c r="CE57" s="126"/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126"/>
      <c r="DI57" s="126"/>
    </row>
    <row r="58" spans="1:113" ht="13.2" x14ac:dyDescent="0.25">
      <c r="A58" s="129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26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26"/>
      <c r="BG58" s="126"/>
      <c r="BH58" s="126"/>
      <c r="BI58" s="130"/>
      <c r="BJ58" s="126"/>
      <c r="BK58" s="126"/>
      <c r="BL58" s="126"/>
      <c r="BM58" s="126"/>
      <c r="BN58" s="130"/>
      <c r="BO58" s="126"/>
      <c r="BP58" s="126"/>
      <c r="BQ58" s="126"/>
      <c r="BR58" s="130"/>
      <c r="BS58" s="130"/>
      <c r="BT58" s="130"/>
      <c r="BU58" s="126"/>
      <c r="BV58" s="126"/>
      <c r="BW58" s="126"/>
      <c r="BX58" s="126"/>
      <c r="BY58" s="126"/>
      <c r="BZ58" s="126"/>
      <c r="CA58" s="126"/>
      <c r="CB58" s="130"/>
      <c r="CC58" s="126"/>
      <c r="CD58" s="126"/>
      <c r="CE58" s="126"/>
      <c r="CF58" s="126"/>
      <c r="CG58" s="126"/>
      <c r="CH58" s="126"/>
      <c r="CI58" s="126"/>
      <c r="CJ58" s="126"/>
      <c r="CK58" s="126"/>
      <c r="CL58" s="126"/>
      <c r="CM58" s="126"/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6"/>
      <c r="CZ58" s="126"/>
      <c r="DA58" s="126"/>
      <c r="DB58" s="126"/>
      <c r="DC58" s="126"/>
      <c r="DD58" s="126"/>
      <c r="DE58" s="126"/>
      <c r="DF58" s="126"/>
      <c r="DG58" s="126"/>
      <c r="DH58" s="126"/>
      <c r="DI58" s="126"/>
    </row>
    <row r="59" spans="1:113" ht="13.2" x14ac:dyDescent="0.25">
      <c r="A59" s="129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26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26"/>
      <c r="BF59" s="126"/>
      <c r="BG59" s="126"/>
      <c r="BH59" s="126"/>
      <c r="BI59" s="130"/>
      <c r="BJ59" s="126"/>
      <c r="BK59" s="126"/>
      <c r="BL59" s="126"/>
      <c r="BM59" s="126"/>
      <c r="BN59" s="130"/>
      <c r="BO59" s="126"/>
      <c r="BP59" s="126"/>
      <c r="BQ59" s="126"/>
      <c r="BR59" s="130"/>
      <c r="BS59" s="130"/>
      <c r="BT59" s="130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</row>
    <row r="60" spans="1:113" ht="13.2" x14ac:dyDescent="0.25">
      <c r="A60" s="129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26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26"/>
      <c r="BF60" s="126"/>
      <c r="BG60" s="126"/>
      <c r="BH60" s="126"/>
      <c r="BI60" s="130"/>
      <c r="BJ60" s="131"/>
      <c r="BK60" s="126"/>
      <c r="BL60" s="126"/>
      <c r="BM60" s="126"/>
      <c r="BN60" s="130"/>
      <c r="BO60" s="126"/>
      <c r="BP60" s="126"/>
      <c r="BQ60" s="126"/>
      <c r="BR60" s="130"/>
      <c r="BS60" s="130"/>
      <c r="BT60" s="130"/>
      <c r="BU60" s="126"/>
      <c r="BV60" s="126"/>
      <c r="BW60" s="126"/>
      <c r="BX60" s="126"/>
      <c r="BY60" s="126"/>
      <c r="BZ60" s="126"/>
      <c r="CA60" s="126"/>
      <c r="CB60" s="130"/>
      <c r="CC60" s="126"/>
      <c r="CD60" s="126"/>
      <c r="CE60" s="126"/>
      <c r="CF60" s="126"/>
      <c r="CG60" s="126"/>
      <c r="CH60" s="126"/>
      <c r="CI60" s="126"/>
      <c r="CJ60" s="126"/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6"/>
      <c r="CZ60" s="126"/>
      <c r="DA60" s="126"/>
      <c r="DB60" s="126"/>
      <c r="DC60" s="126"/>
      <c r="DD60" s="126"/>
      <c r="DE60" s="126"/>
      <c r="DF60" s="126"/>
      <c r="DG60" s="126"/>
      <c r="DH60" s="126"/>
      <c r="DI60" s="126"/>
    </row>
    <row r="61" spans="1:113" ht="13.2" x14ac:dyDescent="0.25">
      <c r="A61" s="129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26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26"/>
      <c r="BF61" s="126"/>
      <c r="BG61" s="126"/>
      <c r="BH61" s="126"/>
      <c r="BI61" s="130"/>
      <c r="BJ61" s="126"/>
      <c r="BK61" s="126"/>
      <c r="BL61" s="126"/>
      <c r="BM61" s="126"/>
      <c r="BN61" s="130"/>
      <c r="BO61" s="126"/>
      <c r="BP61" s="126"/>
      <c r="BQ61" s="126"/>
      <c r="BR61" s="130"/>
      <c r="BS61" s="130"/>
      <c r="BT61" s="130"/>
      <c r="BU61" s="126"/>
      <c r="BV61" s="126"/>
      <c r="BW61" s="126"/>
      <c r="BX61" s="126"/>
      <c r="BY61" s="126"/>
      <c r="BZ61" s="126"/>
      <c r="CA61" s="126"/>
      <c r="CB61" s="130"/>
      <c r="CC61" s="130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</row>
    <row r="62" spans="1:113" ht="13.2" x14ac:dyDescent="0.25">
      <c r="A62" s="129"/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26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26"/>
      <c r="BI62" s="130"/>
      <c r="BJ62" s="126"/>
      <c r="BK62" s="126"/>
      <c r="BL62" s="126"/>
      <c r="BM62" s="126"/>
      <c r="BN62" s="130"/>
      <c r="BO62" s="126"/>
      <c r="BP62" s="126"/>
      <c r="BQ62" s="126"/>
      <c r="BR62" s="130"/>
      <c r="BS62" s="130"/>
      <c r="BT62" s="130"/>
      <c r="BU62" s="126"/>
      <c r="BV62" s="127"/>
      <c r="BW62" s="126"/>
      <c r="BX62" s="126"/>
      <c r="BY62" s="126"/>
      <c r="BZ62" s="126"/>
      <c r="CA62" s="126"/>
      <c r="CB62" s="130"/>
      <c r="CC62" s="126"/>
      <c r="CD62" s="126"/>
      <c r="CE62" s="126"/>
      <c r="CF62" s="126"/>
      <c r="CG62" s="126"/>
      <c r="CH62" s="126"/>
      <c r="CI62" s="126"/>
      <c r="CJ62" s="126"/>
      <c r="CK62" s="126"/>
      <c r="CL62" s="126"/>
      <c r="CM62" s="126"/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6"/>
      <c r="CZ62" s="126"/>
      <c r="DA62" s="126"/>
      <c r="DB62" s="126"/>
      <c r="DC62" s="126"/>
      <c r="DD62" s="126"/>
      <c r="DE62" s="126"/>
      <c r="DF62" s="126"/>
      <c r="DG62" s="126"/>
      <c r="DH62" s="126"/>
      <c r="DI62" s="126"/>
    </row>
    <row r="63" spans="1:113" ht="13.2" x14ac:dyDescent="0.25">
      <c r="A63" s="129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26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26"/>
      <c r="BF63" s="126"/>
      <c r="BG63" s="126"/>
      <c r="BH63" s="126"/>
      <c r="BI63" s="130"/>
      <c r="BJ63" s="126"/>
      <c r="BK63" s="126"/>
      <c r="BL63" s="126"/>
      <c r="BM63" s="126"/>
      <c r="BN63" s="130"/>
      <c r="BO63" s="126"/>
      <c r="BP63" s="126"/>
      <c r="BQ63" s="126"/>
      <c r="BR63" s="130"/>
      <c r="BS63" s="130"/>
      <c r="BT63" s="130"/>
      <c r="BU63" s="126"/>
      <c r="BV63" s="127"/>
      <c r="BW63" s="126"/>
      <c r="BX63" s="126"/>
      <c r="BY63" s="126"/>
      <c r="BZ63" s="126"/>
      <c r="CA63" s="126"/>
      <c r="CB63" s="130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</row>
    <row r="64" spans="1:113" ht="13.2" x14ac:dyDescent="0.25">
      <c r="A64" s="129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26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26"/>
      <c r="BF64" s="126"/>
      <c r="BG64" s="126"/>
      <c r="BH64" s="126"/>
      <c r="BI64" s="130"/>
      <c r="BJ64" s="126"/>
      <c r="BK64" s="126"/>
      <c r="BL64" s="126"/>
      <c r="BM64" s="126"/>
      <c r="BN64" s="130"/>
      <c r="BO64" s="126"/>
      <c r="BP64" s="126"/>
      <c r="BQ64" s="126"/>
      <c r="BR64" s="130"/>
      <c r="BS64" s="130"/>
      <c r="BT64" s="130"/>
      <c r="BU64" s="126"/>
      <c r="BV64" s="126"/>
      <c r="BW64" s="126"/>
      <c r="BX64" s="126"/>
      <c r="BY64" s="126"/>
      <c r="BZ64" s="126"/>
      <c r="CA64" s="126"/>
      <c r="CB64" s="130"/>
      <c r="CC64" s="130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</row>
    <row r="65" spans="1:113" ht="13.2" x14ac:dyDescent="0.25">
      <c r="A65" s="129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26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26"/>
      <c r="BF65" s="126"/>
      <c r="BG65" s="126"/>
      <c r="BH65" s="126"/>
      <c r="BI65" s="130"/>
      <c r="BJ65" s="126"/>
      <c r="BK65" s="126"/>
      <c r="BL65" s="126"/>
      <c r="BM65" s="126"/>
      <c r="BN65" s="130"/>
      <c r="BO65" s="126"/>
      <c r="BP65" s="126"/>
      <c r="BQ65" s="126"/>
      <c r="BR65" s="130"/>
      <c r="BS65" s="130"/>
      <c r="BT65" s="130"/>
      <c r="BU65" s="126"/>
      <c r="BV65" s="127"/>
      <c r="BW65" s="126"/>
      <c r="BX65" s="126"/>
      <c r="BY65" s="126"/>
      <c r="BZ65" s="126"/>
      <c r="CA65" s="126"/>
      <c r="CB65" s="130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</row>
    <row r="66" spans="1:113" ht="13.2" x14ac:dyDescent="0.25">
      <c r="A66" s="129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26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26"/>
      <c r="BF66" s="126"/>
      <c r="BG66" s="126"/>
      <c r="BH66" s="126"/>
      <c r="BI66" s="130"/>
      <c r="BJ66" s="126"/>
      <c r="BK66" s="126"/>
      <c r="BL66" s="126"/>
      <c r="BM66" s="126"/>
      <c r="BN66" s="130"/>
      <c r="BO66" s="126"/>
      <c r="BP66" s="126"/>
      <c r="BQ66" s="126"/>
      <c r="BR66" s="130"/>
      <c r="BS66" s="130"/>
      <c r="BT66" s="130"/>
      <c r="BU66" s="126"/>
      <c r="BV66" s="126"/>
      <c r="BW66" s="126"/>
      <c r="BX66" s="126"/>
      <c r="BY66" s="126"/>
      <c r="BZ66" s="126"/>
      <c r="CA66" s="126"/>
      <c r="CB66" s="130"/>
      <c r="CC66" s="130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</row>
    <row r="67" spans="1:113" ht="13.2" x14ac:dyDescent="0.25">
      <c r="A67" s="129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26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26"/>
      <c r="BF67" s="126"/>
      <c r="BG67" s="126"/>
      <c r="BH67" s="126"/>
      <c r="BI67" s="130"/>
      <c r="BJ67" s="126"/>
      <c r="BK67" s="126"/>
      <c r="BL67" s="126"/>
      <c r="BM67" s="126"/>
      <c r="BN67" s="130"/>
      <c r="BO67" s="126"/>
      <c r="BP67" s="126"/>
      <c r="BQ67" s="126"/>
      <c r="BR67" s="130"/>
      <c r="BS67" s="130"/>
      <c r="BT67" s="130"/>
      <c r="BU67" s="126"/>
      <c r="BV67" s="127"/>
      <c r="BW67" s="126"/>
      <c r="BX67" s="126"/>
      <c r="BY67" s="126"/>
      <c r="BZ67" s="126"/>
      <c r="CA67" s="126"/>
      <c r="CB67" s="130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</row>
    <row r="68" spans="1:113" ht="13.2" x14ac:dyDescent="0.25">
      <c r="A68" s="129"/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26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26"/>
      <c r="BF68" s="126"/>
      <c r="BG68" s="126"/>
      <c r="BH68" s="126"/>
      <c r="BI68" s="130"/>
      <c r="BJ68" s="126"/>
      <c r="BK68" s="126"/>
      <c r="BL68" s="126"/>
      <c r="BM68" s="126"/>
      <c r="BN68" s="130"/>
      <c r="BO68" s="126"/>
      <c r="BP68" s="126"/>
      <c r="BQ68" s="126"/>
      <c r="BR68" s="130"/>
      <c r="BS68" s="130"/>
      <c r="BT68" s="130"/>
      <c r="BU68" s="126"/>
      <c r="BV68" s="127"/>
      <c r="BW68" s="126"/>
      <c r="BX68" s="126"/>
      <c r="BY68" s="126"/>
      <c r="BZ68" s="126"/>
      <c r="CA68" s="126"/>
      <c r="CB68" s="130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</row>
    <row r="69" spans="1:113" ht="13.2" x14ac:dyDescent="0.25">
      <c r="A69" s="129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26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26"/>
      <c r="BF69" s="126"/>
      <c r="BG69" s="126"/>
      <c r="BH69" s="126"/>
      <c r="BI69" s="130"/>
      <c r="BJ69" s="126"/>
      <c r="BK69" s="126"/>
      <c r="BL69" s="126"/>
      <c r="BM69" s="126"/>
      <c r="BN69" s="130"/>
      <c r="BO69" s="126"/>
      <c r="BP69" s="126"/>
      <c r="BQ69" s="126"/>
      <c r="BR69" s="130"/>
      <c r="BS69" s="130"/>
      <c r="BT69" s="130"/>
      <c r="BU69" s="126"/>
      <c r="BV69" s="126"/>
      <c r="BW69" s="126"/>
      <c r="BX69" s="126"/>
      <c r="BY69" s="126"/>
      <c r="BZ69" s="126"/>
      <c r="CA69" s="126"/>
      <c r="CB69" s="130"/>
      <c r="CC69" s="130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</row>
    <row r="70" spans="1:113" ht="13.2" x14ac:dyDescent="0.25">
      <c r="A70" s="129"/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26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26"/>
      <c r="BF70" s="126"/>
      <c r="BG70" s="126"/>
      <c r="BH70" s="126"/>
      <c r="BI70" s="130"/>
      <c r="BJ70" s="126"/>
      <c r="BK70" s="126"/>
      <c r="BL70" s="126"/>
      <c r="BM70" s="126"/>
      <c r="BN70" s="130"/>
      <c r="BO70" s="126"/>
      <c r="BP70" s="126"/>
      <c r="BQ70" s="126"/>
      <c r="BR70" s="130"/>
      <c r="BS70" s="130"/>
      <c r="BT70" s="130"/>
      <c r="BU70" s="126"/>
      <c r="BV70" s="127"/>
      <c r="BW70" s="126"/>
      <c r="BX70" s="126"/>
      <c r="BY70" s="126"/>
      <c r="BZ70" s="126"/>
      <c r="CA70" s="126"/>
      <c r="CB70" s="130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</row>
    <row r="71" spans="1:113" ht="13.2" x14ac:dyDescent="0.25">
      <c r="A71" s="129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26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26"/>
      <c r="BF71" s="126"/>
      <c r="BG71" s="126"/>
      <c r="BH71" s="126"/>
      <c r="BI71" s="130"/>
      <c r="BJ71" s="126"/>
      <c r="BK71" s="126"/>
      <c r="BL71" s="126"/>
      <c r="BM71" s="126"/>
      <c r="BN71" s="130"/>
      <c r="BO71" s="126"/>
      <c r="BP71" s="126"/>
      <c r="BQ71" s="126"/>
      <c r="BR71" s="130"/>
      <c r="BS71" s="130"/>
      <c r="BT71" s="130"/>
      <c r="BU71" s="126"/>
      <c r="BV71" s="126"/>
      <c r="BW71" s="126"/>
      <c r="BX71" s="126"/>
      <c r="BY71" s="126"/>
      <c r="BZ71" s="126"/>
      <c r="CA71" s="126"/>
      <c r="CB71" s="130"/>
      <c r="CC71" s="130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</row>
    <row r="72" spans="1:113" ht="13.2" x14ac:dyDescent="0.25">
      <c r="A72" s="129"/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26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26"/>
      <c r="BF72" s="126"/>
      <c r="BG72" s="126"/>
      <c r="BH72" s="126"/>
      <c r="BI72" s="130"/>
      <c r="BJ72" s="126"/>
      <c r="BK72" s="126"/>
      <c r="BL72" s="126"/>
      <c r="BM72" s="126"/>
      <c r="BN72" s="130"/>
      <c r="BO72" s="126"/>
      <c r="BP72" s="126"/>
      <c r="BQ72" s="126"/>
      <c r="BR72" s="130"/>
      <c r="BS72" s="130"/>
      <c r="BT72" s="130"/>
      <c r="BU72" s="126"/>
      <c r="BV72" s="127"/>
      <c r="BW72" s="126"/>
      <c r="BX72" s="126"/>
      <c r="BY72" s="126"/>
      <c r="BZ72" s="126"/>
      <c r="CA72" s="126"/>
      <c r="CB72" s="130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</row>
    <row r="73" spans="1:113" ht="13.2" x14ac:dyDescent="0.25">
      <c r="A73" s="129"/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26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26"/>
      <c r="BI73" s="130"/>
      <c r="BJ73" s="126"/>
      <c r="BK73" s="126"/>
      <c r="BL73" s="126"/>
      <c r="BM73" s="126"/>
      <c r="BN73" s="130"/>
      <c r="BO73" s="126"/>
      <c r="BP73" s="126"/>
      <c r="BQ73" s="126"/>
      <c r="BR73" s="130"/>
      <c r="BS73" s="130"/>
      <c r="BT73" s="130"/>
      <c r="BU73" s="126"/>
      <c r="BV73" s="127"/>
      <c r="BW73" s="126"/>
      <c r="BX73" s="126"/>
      <c r="BY73" s="126"/>
      <c r="BZ73" s="126"/>
      <c r="CA73" s="126"/>
      <c r="CB73" s="130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</row>
    <row r="74" spans="1:113" ht="13.2" x14ac:dyDescent="0.25">
      <c r="A74" s="129"/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  <c r="AG74" s="130"/>
      <c r="AH74" s="130"/>
      <c r="AI74" s="126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26"/>
      <c r="BF74" s="126"/>
      <c r="BG74" s="126"/>
      <c r="BH74" s="126"/>
      <c r="BI74" s="130"/>
      <c r="BJ74" s="126"/>
      <c r="BK74" s="126"/>
      <c r="BL74" s="126"/>
      <c r="BM74" s="126"/>
      <c r="BN74" s="130"/>
      <c r="BO74" s="126"/>
      <c r="BP74" s="126"/>
      <c r="BQ74" s="126"/>
      <c r="BR74" s="130"/>
      <c r="BS74" s="130"/>
      <c r="BT74" s="130"/>
      <c r="BU74" s="126"/>
      <c r="BV74" s="126"/>
      <c r="BW74" s="126"/>
      <c r="BX74" s="126"/>
      <c r="BY74" s="126"/>
      <c r="BZ74" s="126"/>
      <c r="CA74" s="126"/>
      <c r="CB74" s="130"/>
      <c r="CC74" s="130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</row>
    <row r="75" spans="1:113" ht="13.2" x14ac:dyDescent="0.25">
      <c r="A75" s="129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26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26"/>
      <c r="BF75" s="126"/>
      <c r="BG75" s="126"/>
      <c r="BH75" s="126"/>
      <c r="BI75" s="130"/>
      <c r="BJ75" s="126"/>
      <c r="BK75" s="126"/>
      <c r="BL75" s="126"/>
      <c r="BM75" s="126"/>
      <c r="BN75" s="130"/>
      <c r="BO75" s="126"/>
      <c r="BP75" s="126"/>
      <c r="BQ75" s="126"/>
      <c r="BR75" s="130"/>
      <c r="BS75" s="130"/>
      <c r="BT75" s="130"/>
      <c r="BU75" s="126"/>
      <c r="BV75" s="127"/>
      <c r="BW75" s="126"/>
      <c r="BX75" s="126"/>
      <c r="BY75" s="126"/>
      <c r="BZ75" s="126"/>
      <c r="CA75" s="126"/>
      <c r="CB75" s="130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</row>
    <row r="76" spans="1:113" ht="13.2" x14ac:dyDescent="0.25">
      <c r="A76" s="129"/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26"/>
      <c r="AJ76" s="130"/>
      <c r="AK76" s="130"/>
      <c r="AL76" s="130"/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26"/>
      <c r="BI76" s="130"/>
      <c r="BJ76" s="126"/>
      <c r="BK76" s="126"/>
      <c r="BL76" s="126"/>
      <c r="BM76" s="126"/>
      <c r="BN76" s="126"/>
      <c r="BO76" s="126"/>
      <c r="BP76" s="126"/>
      <c r="BQ76" s="126"/>
      <c r="BR76" s="130"/>
      <c r="BS76" s="130"/>
      <c r="BT76" s="130"/>
      <c r="BU76" s="126"/>
      <c r="BV76" s="126"/>
      <c r="BW76" s="126"/>
      <c r="BX76" s="126"/>
      <c r="BY76" s="126"/>
      <c r="BZ76" s="126"/>
      <c r="CA76" s="126"/>
      <c r="CB76" s="130"/>
      <c r="CC76" s="130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</row>
    <row r="77" spans="1:113" ht="13.2" x14ac:dyDescent="0.25">
      <c r="A77" s="129"/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26"/>
      <c r="AJ77" s="130"/>
      <c r="AK77" s="130"/>
      <c r="AL77" s="130"/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0"/>
      <c r="BF77" s="130"/>
      <c r="BG77" s="126"/>
      <c r="BH77" s="126"/>
      <c r="BI77" s="130"/>
      <c r="BJ77" s="126"/>
      <c r="BK77" s="126"/>
      <c r="BL77" s="126"/>
      <c r="BM77" s="126"/>
      <c r="BN77" s="126"/>
      <c r="BO77" s="126"/>
      <c r="BP77" s="126"/>
      <c r="BQ77" s="126"/>
      <c r="BR77" s="130"/>
      <c r="BS77" s="130"/>
      <c r="BT77" s="130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</row>
    <row r="78" spans="1:113" ht="13.2" x14ac:dyDescent="0.25">
      <c r="A78" s="129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26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26"/>
      <c r="BI78" s="130"/>
      <c r="BJ78" s="126"/>
      <c r="BK78" s="126"/>
      <c r="BL78" s="126"/>
      <c r="BM78" s="126"/>
      <c r="BN78" s="126"/>
      <c r="BO78" s="126"/>
      <c r="BP78" s="126"/>
      <c r="BQ78" s="126"/>
      <c r="BR78" s="130"/>
      <c r="BS78" s="130"/>
      <c r="BT78" s="130"/>
      <c r="BU78" s="126"/>
      <c r="BV78" s="126"/>
      <c r="BW78" s="126"/>
      <c r="BX78" s="126"/>
      <c r="BY78" s="126"/>
      <c r="BZ78" s="126"/>
      <c r="CA78" s="126"/>
      <c r="CB78" s="130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</row>
    <row r="79" spans="1:113" ht="13.2" x14ac:dyDescent="0.25">
      <c r="A79" s="129"/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26"/>
      <c r="AJ79" s="130"/>
      <c r="AK79" s="130"/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0"/>
      <c r="BF79" s="130"/>
      <c r="BG79" s="130"/>
      <c r="BH79" s="126"/>
      <c r="BI79" s="130"/>
      <c r="BJ79" s="126"/>
      <c r="BK79" s="126"/>
      <c r="BL79" s="126"/>
      <c r="BM79" s="126"/>
      <c r="BN79" s="126"/>
      <c r="BO79" s="126"/>
      <c r="BP79" s="126"/>
      <c r="BQ79" s="126"/>
      <c r="BR79" s="130"/>
      <c r="BS79" s="130"/>
      <c r="BT79" s="130"/>
      <c r="BU79" s="126"/>
      <c r="BV79" s="127"/>
      <c r="BW79" s="126"/>
      <c r="BX79" s="126"/>
      <c r="BY79" s="126"/>
      <c r="BZ79" s="126"/>
      <c r="CA79" s="126"/>
      <c r="CB79" s="130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</row>
    <row r="80" spans="1:113" ht="13.2" x14ac:dyDescent="0.25">
      <c r="A80" s="129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26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26"/>
      <c r="BF80" s="126"/>
      <c r="BG80" s="130"/>
      <c r="BH80" s="126"/>
      <c r="BI80" s="130"/>
      <c r="BJ80" s="126"/>
      <c r="BK80" s="126"/>
      <c r="BL80" s="126"/>
      <c r="BM80" s="126"/>
      <c r="BN80" s="126"/>
      <c r="BO80" s="126"/>
      <c r="BP80" s="126"/>
      <c r="BQ80" s="126"/>
      <c r="BR80" s="130"/>
      <c r="BS80" s="130"/>
      <c r="BT80" s="130"/>
      <c r="BU80" s="126"/>
      <c r="BV80" s="127"/>
      <c r="BW80" s="126"/>
      <c r="BX80" s="126"/>
      <c r="BY80" s="126"/>
      <c r="BZ80" s="126"/>
      <c r="CA80" s="126"/>
      <c r="CB80" s="130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</row>
    <row r="81" spans="1:113" ht="13.2" x14ac:dyDescent="0.25">
      <c r="A81" s="129"/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  <c r="AG81" s="130"/>
      <c r="AH81" s="130"/>
      <c r="AI81" s="126"/>
      <c r="AJ81" s="130"/>
      <c r="AK81" s="130"/>
      <c r="AL81" s="130"/>
      <c r="AM81" s="130"/>
      <c r="AN81" s="130"/>
      <c r="AO81" s="130"/>
      <c r="AP81" s="130"/>
      <c r="AQ81" s="130"/>
      <c r="AR81" s="130"/>
      <c r="AS81" s="130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0"/>
      <c r="BE81" s="130"/>
      <c r="BF81" s="130"/>
      <c r="BG81" s="130"/>
      <c r="BH81" s="126"/>
      <c r="BI81" s="130"/>
      <c r="BJ81" s="126"/>
      <c r="BK81" s="126"/>
      <c r="BL81" s="126"/>
      <c r="BM81" s="126"/>
      <c r="BN81" s="126"/>
      <c r="BO81" s="126"/>
      <c r="BP81" s="126"/>
      <c r="BQ81" s="126"/>
      <c r="BR81" s="130"/>
      <c r="BS81" s="130"/>
      <c r="BT81" s="130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</row>
    <row r="82" spans="1:113" ht="13.2" x14ac:dyDescent="0.25">
      <c r="A82" s="129"/>
      <c r="B82" s="126"/>
      <c r="C82" s="126"/>
      <c r="D82" s="126"/>
      <c r="E82" s="126"/>
      <c r="F82" s="126"/>
      <c r="G82" s="126"/>
      <c r="H82" s="127"/>
      <c r="I82" s="126"/>
      <c r="J82" s="126"/>
      <c r="K82" s="126"/>
      <c r="L82" s="126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26"/>
      <c r="AJ82" s="130"/>
      <c r="AK82" s="130"/>
      <c r="AL82" s="130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0"/>
      <c r="BA82" s="130"/>
      <c r="BB82" s="130"/>
      <c r="BC82" s="130"/>
      <c r="BD82" s="130"/>
      <c r="BE82" s="126"/>
      <c r="BF82" s="126"/>
      <c r="BG82" s="126"/>
      <c r="BH82" s="126"/>
      <c r="BI82" s="130"/>
      <c r="BJ82" s="126"/>
      <c r="BK82" s="126"/>
      <c r="BL82" s="126"/>
      <c r="BM82" s="126"/>
      <c r="BN82" s="126"/>
      <c r="BO82" s="126"/>
      <c r="BP82" s="126"/>
      <c r="BQ82" s="126"/>
      <c r="BR82" s="130"/>
      <c r="BS82" s="130"/>
      <c r="BT82" s="130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</row>
    <row r="83" spans="1:113" ht="13.2" x14ac:dyDescent="0.25">
      <c r="A83" s="129"/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26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26"/>
      <c r="BG83" s="130"/>
      <c r="BH83" s="126"/>
      <c r="BI83" s="130"/>
      <c r="BJ83" s="126"/>
      <c r="BK83" s="126"/>
      <c r="BL83" s="126"/>
      <c r="BM83" s="126"/>
      <c r="BN83" s="126"/>
      <c r="BO83" s="126"/>
      <c r="BP83" s="126"/>
      <c r="BQ83" s="126"/>
      <c r="BR83" s="130"/>
      <c r="BS83" s="130"/>
      <c r="BT83" s="130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</row>
    <row r="84" spans="1:113" ht="13.2" x14ac:dyDescent="0.25">
      <c r="A84" s="129"/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26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26"/>
      <c r="BI84" s="130"/>
      <c r="BJ84" s="126"/>
      <c r="BK84" s="126"/>
      <c r="BL84" s="126"/>
      <c r="BM84" s="126"/>
      <c r="BN84" s="126"/>
      <c r="BO84" s="126"/>
      <c r="BP84" s="126"/>
      <c r="BQ84" s="126"/>
      <c r="BR84" s="130"/>
      <c r="BS84" s="130"/>
      <c r="BT84" s="130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</row>
    <row r="85" spans="1:113" ht="13.2" x14ac:dyDescent="0.25">
      <c r="A85" s="129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26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26"/>
      <c r="BI85" s="130"/>
      <c r="BJ85" s="126"/>
      <c r="BK85" s="126"/>
      <c r="BL85" s="126"/>
      <c r="BM85" s="126"/>
      <c r="BN85" s="130"/>
      <c r="BO85" s="126"/>
      <c r="BP85" s="126"/>
      <c r="BQ85" s="126"/>
      <c r="BR85" s="130"/>
      <c r="BS85" s="130"/>
      <c r="BT85" s="130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</row>
    <row r="86" spans="1:113" ht="13.2" x14ac:dyDescent="0.25">
      <c r="A86" s="129"/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26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26"/>
      <c r="BG86" s="130"/>
      <c r="BH86" s="126"/>
      <c r="BI86" s="130"/>
      <c r="BJ86" s="126"/>
      <c r="BK86" s="126"/>
      <c r="BL86" s="126"/>
      <c r="BM86" s="126"/>
      <c r="BN86" s="126"/>
      <c r="BO86" s="126"/>
      <c r="BP86" s="126"/>
      <c r="BQ86" s="126"/>
      <c r="BR86" s="130"/>
      <c r="BS86" s="130"/>
      <c r="BT86" s="130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</row>
    <row r="87" spans="1:113" ht="13.2" x14ac:dyDescent="0.25">
      <c r="A87" s="129"/>
      <c r="B87" s="126"/>
      <c r="C87" s="126"/>
      <c r="D87" s="126"/>
      <c r="E87" s="126"/>
      <c r="F87" s="126"/>
      <c r="G87" s="126"/>
      <c r="H87" s="127"/>
      <c r="I87" s="126"/>
      <c r="J87" s="126"/>
      <c r="K87" s="126"/>
      <c r="L87" s="126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26"/>
      <c r="AJ87" s="130"/>
      <c r="AK87" s="130"/>
      <c r="AL87" s="130"/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26"/>
      <c r="BF87" s="126"/>
      <c r="BG87" s="126"/>
      <c r="BH87" s="126"/>
      <c r="BI87" s="130"/>
      <c r="BJ87" s="126"/>
      <c r="BK87" s="126"/>
      <c r="BL87" s="126"/>
      <c r="BM87" s="126"/>
      <c r="BN87" s="126"/>
      <c r="BO87" s="126"/>
      <c r="BP87" s="126"/>
      <c r="BQ87" s="126"/>
      <c r="BR87" s="130"/>
      <c r="BS87" s="130"/>
      <c r="BT87" s="130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</row>
    <row r="88" spans="1:113" ht="13.2" x14ac:dyDescent="0.25">
      <c r="A88" s="129"/>
      <c r="B88" s="126"/>
      <c r="C88" s="126"/>
      <c r="D88" s="126"/>
      <c r="E88" s="126"/>
      <c r="F88" s="126"/>
      <c r="G88" s="126"/>
      <c r="H88" s="127"/>
      <c r="I88" s="126"/>
      <c r="J88" s="126"/>
      <c r="K88" s="126"/>
      <c r="L88" s="126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26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26"/>
      <c r="BF88" s="126"/>
      <c r="BG88" s="126"/>
      <c r="BH88" s="126"/>
      <c r="BI88" s="130"/>
      <c r="BJ88" s="126"/>
      <c r="BK88" s="126"/>
      <c r="BL88" s="126"/>
      <c r="BM88" s="126"/>
      <c r="BN88" s="126"/>
      <c r="BO88" s="126"/>
      <c r="BP88" s="126"/>
      <c r="BQ88" s="126"/>
      <c r="BR88" s="130"/>
      <c r="BS88" s="130"/>
      <c r="BT88" s="130"/>
      <c r="BU88" s="126"/>
      <c r="BV88" s="126"/>
      <c r="BW88" s="126"/>
      <c r="BX88" s="126"/>
      <c r="BY88" s="126"/>
      <c r="BZ88" s="126"/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6"/>
      <c r="CM88" s="126"/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6"/>
      <c r="CZ88" s="126"/>
      <c r="DA88" s="126"/>
      <c r="DB88" s="126"/>
      <c r="DC88" s="126"/>
      <c r="DD88" s="126"/>
      <c r="DE88" s="126"/>
      <c r="DF88" s="126"/>
      <c r="DG88" s="126"/>
      <c r="DH88" s="126"/>
      <c r="DI88" s="126"/>
    </row>
    <row r="89" spans="1:113" ht="13.2" x14ac:dyDescent="0.25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6"/>
      <c r="AS89" s="126"/>
      <c r="AT89" s="126"/>
      <c r="AU89" s="126"/>
      <c r="AV89" s="126"/>
      <c r="AW89" s="126"/>
      <c r="AX89" s="126"/>
      <c r="AY89" s="126"/>
      <c r="AZ89" s="126"/>
      <c r="BA89" s="126"/>
      <c r="BB89" s="126"/>
      <c r="BC89" s="126"/>
      <c r="BD89" s="126"/>
      <c r="BE89" s="126"/>
      <c r="BF89" s="126"/>
      <c r="BG89" s="126"/>
      <c r="BH89" s="126"/>
      <c r="BI89" s="126"/>
      <c r="BJ89" s="126"/>
      <c r="BK89" s="126"/>
      <c r="BL89" s="126"/>
      <c r="BM89" s="126"/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6"/>
      <c r="BZ89" s="126"/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6"/>
      <c r="CM89" s="126"/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6"/>
      <c r="CZ89" s="126"/>
      <c r="DA89" s="126"/>
      <c r="DB89" s="126"/>
      <c r="DC89" s="126"/>
      <c r="DD89" s="126"/>
      <c r="DE89" s="126"/>
      <c r="DF89" s="126"/>
      <c r="DG89" s="126"/>
      <c r="DH89" s="126"/>
      <c r="DI89" s="126"/>
    </row>
    <row r="90" spans="1:113" ht="13.2" x14ac:dyDescent="0.25">
      <c r="A90" s="126"/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6"/>
      <c r="AY90" s="126"/>
      <c r="AZ90" s="126"/>
      <c r="BA90" s="126"/>
      <c r="BB90" s="126"/>
      <c r="BC90" s="126"/>
      <c r="BD90" s="126"/>
      <c r="BE90" s="126"/>
      <c r="BF90" s="126"/>
      <c r="BG90" s="126"/>
      <c r="BH90" s="126"/>
      <c r="BI90" s="126"/>
      <c r="BJ90" s="126"/>
      <c r="BK90" s="126"/>
      <c r="BL90" s="126"/>
      <c r="BM90" s="126"/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6"/>
      <c r="BZ90" s="126"/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6"/>
      <c r="CZ90" s="126"/>
      <c r="DA90" s="126"/>
      <c r="DB90" s="126"/>
      <c r="DC90" s="126"/>
      <c r="DD90" s="126"/>
      <c r="DE90" s="126"/>
      <c r="DF90" s="126"/>
      <c r="DG90" s="126"/>
      <c r="DH90" s="126"/>
      <c r="DI90" s="126"/>
    </row>
    <row r="91" spans="1:113" ht="13.2" x14ac:dyDescent="0.25">
      <c r="A91" s="126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</row>
    <row r="92" spans="1:113" ht="13.2" x14ac:dyDescent="0.25">
      <c r="A92" s="126"/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</row>
    <row r="93" spans="1:113" ht="13.2" x14ac:dyDescent="0.25">
      <c r="A93" s="126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</row>
    <row r="94" spans="1:113" ht="13.2" x14ac:dyDescent="0.25">
      <c r="A94" s="126"/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6"/>
      <c r="AS94" s="126"/>
      <c r="AT94" s="126"/>
      <c r="AU94" s="126"/>
      <c r="AV94" s="126"/>
      <c r="AW94" s="126"/>
      <c r="AX94" s="126"/>
      <c r="AY94" s="126"/>
      <c r="AZ94" s="126"/>
      <c r="BA94" s="126"/>
      <c r="BB94" s="126"/>
      <c r="BC94" s="126"/>
      <c r="BD94" s="126"/>
      <c r="BE94" s="126"/>
      <c r="BF94" s="126"/>
      <c r="BG94" s="126"/>
      <c r="BH94" s="126"/>
      <c r="BI94" s="126"/>
      <c r="BJ94" s="126"/>
      <c r="BK94" s="126"/>
      <c r="BL94" s="126"/>
      <c r="BM94" s="126"/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6"/>
      <c r="BZ94" s="126"/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6"/>
      <c r="CM94" s="126"/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6"/>
      <c r="CZ94" s="126"/>
      <c r="DA94" s="126"/>
      <c r="DB94" s="126"/>
      <c r="DC94" s="126"/>
      <c r="DD94" s="126"/>
      <c r="DE94" s="126"/>
      <c r="DF94" s="126"/>
      <c r="DG94" s="126"/>
      <c r="DH94" s="126"/>
      <c r="DI94" s="126"/>
    </row>
    <row r="95" spans="1:113" ht="13.2" x14ac:dyDescent="0.25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</row>
    <row r="96" spans="1:113" ht="13.2" x14ac:dyDescent="0.25">
      <c r="A96" s="126"/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</row>
    <row r="97" spans="1:113" ht="13.2" x14ac:dyDescent="0.25">
      <c r="A97" s="126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</row>
    <row r="98" spans="1:113" ht="13.2" x14ac:dyDescent="0.25">
      <c r="A98" s="126"/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6"/>
      <c r="AS98" s="126"/>
      <c r="AT98" s="126"/>
      <c r="AU98" s="126"/>
      <c r="AV98" s="126"/>
      <c r="AW98" s="126"/>
      <c r="AX98" s="126"/>
      <c r="AY98" s="126"/>
      <c r="AZ98" s="126"/>
      <c r="BA98" s="126"/>
      <c r="BB98" s="126"/>
      <c r="BC98" s="126"/>
      <c r="BD98" s="126"/>
      <c r="BE98" s="126"/>
      <c r="BF98" s="126"/>
      <c r="BG98" s="126"/>
      <c r="BH98" s="126"/>
      <c r="BI98" s="126"/>
      <c r="BJ98" s="126"/>
      <c r="BK98" s="126"/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26"/>
      <c r="BX98" s="126"/>
      <c r="BY98" s="126"/>
      <c r="BZ98" s="126"/>
      <c r="CA98" s="126"/>
      <c r="CB98" s="126"/>
      <c r="CC98" s="126"/>
      <c r="CD98" s="126"/>
      <c r="CE98" s="126"/>
      <c r="CF98" s="126"/>
      <c r="CG98" s="126"/>
      <c r="CH98" s="126"/>
      <c r="CI98" s="126"/>
      <c r="CJ98" s="126"/>
      <c r="CK98" s="126"/>
      <c r="CL98" s="126"/>
      <c r="CM98" s="126"/>
      <c r="CN98" s="126"/>
      <c r="CO98" s="126"/>
      <c r="CP98" s="126"/>
      <c r="CQ98" s="126"/>
      <c r="CR98" s="126"/>
      <c r="CS98" s="126"/>
      <c r="CT98" s="126"/>
      <c r="CU98" s="126"/>
      <c r="CV98" s="126"/>
      <c r="CW98" s="126"/>
      <c r="CX98" s="126"/>
      <c r="CY98" s="126"/>
      <c r="CZ98" s="126"/>
      <c r="DA98" s="126"/>
      <c r="DB98" s="126"/>
      <c r="DC98" s="126"/>
      <c r="DD98" s="126"/>
      <c r="DE98" s="126"/>
      <c r="DF98" s="126"/>
      <c r="DG98" s="126"/>
      <c r="DH98" s="126"/>
      <c r="DI98" s="126"/>
    </row>
    <row r="99" spans="1:113" ht="13.2" x14ac:dyDescent="0.25">
      <c r="A99" s="126"/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6"/>
      <c r="AY99" s="126"/>
      <c r="AZ99" s="126"/>
      <c r="BA99" s="126"/>
      <c r="BB99" s="126"/>
      <c r="BC99" s="126"/>
      <c r="BD99" s="126"/>
      <c r="BE99" s="126"/>
      <c r="BF99" s="126"/>
      <c r="BG99" s="126"/>
      <c r="BH99" s="126"/>
      <c r="BI99" s="126"/>
      <c r="BJ99" s="126"/>
      <c r="BK99" s="126"/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26"/>
      <c r="BX99" s="126"/>
      <c r="BY99" s="126"/>
      <c r="BZ99" s="126"/>
      <c r="CA99" s="126"/>
      <c r="CB99" s="126"/>
      <c r="CC99" s="126"/>
      <c r="CD99" s="126"/>
      <c r="CE99" s="126"/>
      <c r="CF99" s="126"/>
      <c r="CG99" s="126"/>
      <c r="CH99" s="126"/>
      <c r="CI99" s="126"/>
      <c r="CJ99" s="126"/>
      <c r="CK99" s="126"/>
      <c r="CL99" s="126"/>
      <c r="CM99" s="126"/>
      <c r="CN99" s="126"/>
      <c r="CO99" s="126"/>
      <c r="CP99" s="126"/>
      <c r="CQ99" s="126"/>
      <c r="CR99" s="126"/>
      <c r="CS99" s="126"/>
      <c r="CT99" s="126"/>
      <c r="CU99" s="126"/>
      <c r="CV99" s="126"/>
      <c r="CW99" s="126"/>
      <c r="CX99" s="126"/>
      <c r="CY99" s="126"/>
      <c r="CZ99" s="126"/>
      <c r="DA99" s="126"/>
      <c r="DB99" s="126"/>
      <c r="DC99" s="126"/>
      <c r="DD99" s="126"/>
      <c r="DE99" s="126"/>
      <c r="DF99" s="126"/>
      <c r="DG99" s="126"/>
      <c r="DH99" s="126"/>
      <c r="DI99" s="126"/>
    </row>
    <row r="100" spans="1:113" ht="13.2" x14ac:dyDescent="0.25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6"/>
      <c r="AS100" s="126"/>
      <c r="AT100" s="126"/>
      <c r="AU100" s="126"/>
      <c r="AV100" s="126"/>
      <c r="AW100" s="126"/>
      <c r="AX100" s="126"/>
      <c r="AY100" s="126"/>
      <c r="AZ100" s="126"/>
      <c r="BA100" s="126"/>
      <c r="BB100" s="126"/>
      <c r="BC100" s="126"/>
      <c r="BD100" s="126"/>
      <c r="BE100" s="126"/>
      <c r="BF100" s="126"/>
      <c r="BG100" s="126"/>
      <c r="BH100" s="126"/>
      <c r="BI100" s="126"/>
      <c r="BJ100" s="126"/>
      <c r="BK100" s="126"/>
      <c r="BL100" s="126"/>
      <c r="BM100" s="126"/>
      <c r="BN100" s="126"/>
      <c r="BO100" s="126"/>
      <c r="BP100" s="126"/>
      <c r="BQ100" s="126"/>
      <c r="BR100" s="126"/>
      <c r="BS100" s="126"/>
      <c r="BT100" s="126"/>
      <c r="BU100" s="126"/>
      <c r="BV100" s="126"/>
      <c r="BW100" s="126"/>
      <c r="BX100" s="126"/>
      <c r="BY100" s="126"/>
      <c r="BZ100" s="126"/>
      <c r="CA100" s="126"/>
      <c r="CB100" s="126"/>
      <c r="CC100" s="126"/>
      <c r="CD100" s="126"/>
      <c r="CE100" s="126"/>
      <c r="CF100" s="126"/>
      <c r="CG100" s="126"/>
      <c r="CH100" s="126"/>
      <c r="CI100" s="126"/>
      <c r="CJ100" s="126"/>
      <c r="CK100" s="126"/>
      <c r="CL100" s="126"/>
      <c r="CM100" s="126"/>
      <c r="CN100" s="126"/>
      <c r="CO100" s="126"/>
      <c r="CP100" s="126"/>
      <c r="CQ100" s="126"/>
      <c r="CR100" s="126"/>
      <c r="CS100" s="126"/>
      <c r="CT100" s="126"/>
      <c r="CU100" s="126"/>
      <c r="CV100" s="126"/>
      <c r="CW100" s="126"/>
      <c r="CX100" s="126"/>
      <c r="CY100" s="126"/>
      <c r="CZ100" s="126"/>
      <c r="DA100" s="126"/>
      <c r="DB100" s="126"/>
      <c r="DC100" s="126"/>
      <c r="DD100" s="126"/>
      <c r="DE100" s="126"/>
      <c r="DF100" s="126"/>
      <c r="DG100" s="126"/>
      <c r="DH100" s="126"/>
      <c r="DI100" s="126"/>
    </row>
    <row r="101" spans="1:113" ht="13.2" x14ac:dyDescent="0.25">
      <c r="A101" s="126"/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6"/>
      <c r="AS101" s="126"/>
      <c r="AT101" s="126"/>
      <c r="AU101" s="126"/>
      <c r="AV101" s="126"/>
      <c r="AW101" s="126"/>
      <c r="AX101" s="126"/>
      <c r="AY101" s="126"/>
      <c r="AZ101" s="126"/>
      <c r="BA101" s="126"/>
      <c r="BB101" s="126"/>
      <c r="BC101" s="126"/>
      <c r="BD101" s="126"/>
      <c r="BE101" s="126"/>
      <c r="BF101" s="126"/>
      <c r="BG101" s="126"/>
      <c r="BH101" s="126"/>
      <c r="BI101" s="126"/>
      <c r="BJ101" s="126"/>
      <c r="BK101" s="126"/>
      <c r="BL101" s="126"/>
      <c r="BM101" s="126"/>
      <c r="BN101" s="126"/>
      <c r="BO101" s="126"/>
      <c r="BP101" s="126"/>
      <c r="BQ101" s="126"/>
      <c r="BR101" s="126"/>
      <c r="BS101" s="126"/>
      <c r="BT101" s="126"/>
      <c r="BU101" s="126"/>
      <c r="BV101" s="126"/>
      <c r="BW101" s="126"/>
      <c r="BX101" s="126"/>
      <c r="BY101" s="126"/>
      <c r="BZ101" s="126"/>
      <c r="CA101" s="126"/>
      <c r="CB101" s="126"/>
      <c r="CC101" s="126"/>
      <c r="CD101" s="126"/>
      <c r="CE101" s="126"/>
      <c r="CF101" s="126"/>
      <c r="CG101" s="126"/>
      <c r="CH101" s="126"/>
      <c r="CI101" s="126"/>
      <c r="CJ101" s="126"/>
      <c r="CK101" s="126"/>
      <c r="CL101" s="126"/>
      <c r="CM101" s="126"/>
      <c r="CN101" s="126"/>
      <c r="CO101" s="126"/>
      <c r="CP101" s="126"/>
      <c r="CQ101" s="126"/>
      <c r="CR101" s="126"/>
      <c r="CS101" s="126"/>
      <c r="CT101" s="126"/>
      <c r="CU101" s="126"/>
      <c r="CV101" s="126"/>
      <c r="CW101" s="126"/>
      <c r="CX101" s="126"/>
      <c r="CY101" s="126"/>
      <c r="CZ101" s="126"/>
      <c r="DA101" s="126"/>
      <c r="DB101" s="126"/>
      <c r="DC101" s="126"/>
      <c r="DD101" s="126"/>
      <c r="DE101" s="126"/>
      <c r="DF101" s="126"/>
      <c r="DG101" s="126"/>
      <c r="DH101" s="126"/>
      <c r="DI101" s="126"/>
    </row>
    <row r="102" spans="1:113" ht="13.2" x14ac:dyDescent="0.25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6"/>
      <c r="AS102" s="126"/>
      <c r="AT102" s="126"/>
      <c r="AU102" s="126"/>
      <c r="AV102" s="126"/>
      <c r="AW102" s="126"/>
      <c r="AX102" s="126"/>
      <c r="AY102" s="126"/>
      <c r="AZ102" s="126"/>
      <c r="BA102" s="126"/>
      <c r="BB102" s="126"/>
      <c r="BC102" s="126"/>
      <c r="BD102" s="126"/>
      <c r="BE102" s="126"/>
      <c r="BF102" s="126"/>
      <c r="BG102" s="126"/>
      <c r="BH102" s="126"/>
      <c r="BI102" s="126"/>
      <c r="BJ102" s="126"/>
      <c r="BK102" s="126"/>
      <c r="BL102" s="126"/>
      <c r="BM102" s="126"/>
      <c r="BN102" s="126"/>
      <c r="BO102" s="126"/>
      <c r="BP102" s="126"/>
      <c r="BQ102" s="126"/>
      <c r="BR102" s="126"/>
      <c r="BS102" s="126"/>
      <c r="BT102" s="126"/>
      <c r="BU102" s="126"/>
      <c r="BV102" s="126"/>
      <c r="BW102" s="126"/>
      <c r="BX102" s="126"/>
      <c r="BY102" s="126"/>
      <c r="BZ102" s="126"/>
      <c r="CA102" s="126"/>
      <c r="CB102" s="126"/>
      <c r="CC102" s="126"/>
      <c r="CD102" s="126"/>
      <c r="CE102" s="126"/>
      <c r="CF102" s="126"/>
      <c r="CG102" s="126"/>
      <c r="CH102" s="126"/>
      <c r="CI102" s="126"/>
      <c r="CJ102" s="126"/>
      <c r="CK102" s="126"/>
      <c r="CL102" s="126"/>
      <c r="CM102" s="126"/>
      <c r="CN102" s="126"/>
      <c r="CO102" s="126"/>
      <c r="CP102" s="126"/>
      <c r="CQ102" s="126"/>
      <c r="CR102" s="126"/>
      <c r="CS102" s="126"/>
      <c r="CT102" s="126"/>
      <c r="CU102" s="126"/>
      <c r="CV102" s="126"/>
      <c r="CW102" s="126"/>
      <c r="CX102" s="126"/>
      <c r="CY102" s="126"/>
      <c r="CZ102" s="126"/>
      <c r="DA102" s="126"/>
      <c r="DB102" s="126"/>
      <c r="DC102" s="126"/>
      <c r="DD102" s="126"/>
      <c r="DE102" s="126"/>
      <c r="DF102" s="126"/>
      <c r="DG102" s="126"/>
      <c r="DH102" s="126"/>
      <c r="DI102" s="126"/>
    </row>
    <row r="103" spans="1:113" ht="13.2" x14ac:dyDescent="0.25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/>
      <c r="AC103" s="126"/>
      <c r="AD103" s="126"/>
      <c r="AE103" s="126"/>
      <c r="AF103" s="126"/>
      <c r="AG103" s="126"/>
      <c r="AH103" s="126"/>
      <c r="AI103" s="126"/>
      <c r="AJ103" s="126"/>
      <c r="AK103" s="126"/>
      <c r="AL103" s="126"/>
      <c r="AM103" s="126"/>
      <c r="AN103" s="126"/>
      <c r="AO103" s="126"/>
      <c r="AP103" s="126"/>
      <c r="AQ103" s="126"/>
      <c r="AR103" s="126"/>
      <c r="AS103" s="126"/>
      <c r="AT103" s="126"/>
      <c r="AU103" s="126"/>
      <c r="AV103" s="126"/>
      <c r="AW103" s="126"/>
      <c r="AX103" s="126"/>
      <c r="AY103" s="126"/>
      <c r="AZ103" s="126"/>
      <c r="BA103" s="126"/>
      <c r="BB103" s="126"/>
      <c r="BC103" s="126"/>
      <c r="BD103" s="126"/>
      <c r="BE103" s="126"/>
      <c r="BF103" s="126"/>
      <c r="BG103" s="126"/>
      <c r="BH103" s="126"/>
      <c r="BI103" s="126"/>
      <c r="BJ103" s="126"/>
      <c r="BK103" s="126"/>
      <c r="BL103" s="126"/>
      <c r="BM103" s="126"/>
      <c r="BN103" s="126"/>
      <c r="BO103" s="126"/>
      <c r="BP103" s="126"/>
      <c r="BQ103" s="126"/>
      <c r="BR103" s="126"/>
      <c r="BS103" s="126"/>
      <c r="BT103" s="126"/>
      <c r="BU103" s="126"/>
      <c r="BV103" s="126"/>
      <c r="BW103" s="126"/>
      <c r="BX103" s="126"/>
      <c r="BY103" s="126"/>
      <c r="BZ103" s="126"/>
      <c r="CA103" s="126"/>
      <c r="CB103" s="126"/>
      <c r="CC103" s="126"/>
      <c r="CD103" s="126"/>
      <c r="CE103" s="126"/>
      <c r="CF103" s="126"/>
      <c r="CG103" s="126"/>
      <c r="CH103" s="126"/>
      <c r="CI103" s="126"/>
      <c r="CJ103" s="126"/>
      <c r="CK103" s="126"/>
      <c r="CL103" s="126"/>
      <c r="CM103" s="126"/>
      <c r="CN103" s="126"/>
      <c r="CO103" s="126"/>
      <c r="CP103" s="126"/>
      <c r="CQ103" s="126"/>
      <c r="CR103" s="126"/>
      <c r="CS103" s="126"/>
      <c r="CT103" s="126"/>
      <c r="CU103" s="126"/>
      <c r="CV103" s="126"/>
      <c r="CW103" s="126"/>
      <c r="CX103" s="126"/>
      <c r="CY103" s="126"/>
      <c r="CZ103" s="126"/>
      <c r="DA103" s="126"/>
      <c r="DB103" s="126"/>
      <c r="DC103" s="126"/>
      <c r="DD103" s="126"/>
      <c r="DE103" s="126"/>
      <c r="DF103" s="126"/>
      <c r="DG103" s="126"/>
      <c r="DH103" s="126"/>
      <c r="DI103" s="126"/>
    </row>
    <row r="104" spans="1:113" ht="13.2" x14ac:dyDescent="0.25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</row>
    <row r="105" spans="1:113" ht="13.2" x14ac:dyDescent="0.25">
      <c r="A105" s="126"/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</row>
    <row r="106" spans="1:113" ht="13.2" x14ac:dyDescent="0.25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</row>
    <row r="107" spans="1:113" ht="13.2" x14ac:dyDescent="0.25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</row>
    <row r="108" spans="1:113" ht="13.2" x14ac:dyDescent="0.25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</row>
    <row r="109" spans="1:113" ht="13.2" x14ac:dyDescent="0.25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</row>
    <row r="110" spans="1:113" ht="13.2" x14ac:dyDescent="0.25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</row>
    <row r="111" spans="1:113" ht="13.2" x14ac:dyDescent="0.25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</row>
    <row r="112" spans="1:113" ht="13.2" x14ac:dyDescent="0.25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</row>
    <row r="113" spans="1:73" ht="13.2" x14ac:dyDescent="0.25">
      <c r="A113" s="126"/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</row>
    <row r="114" spans="1:73" ht="13.2" x14ac:dyDescent="0.25">
      <c r="A114" s="126"/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126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</row>
    <row r="115" spans="1:73" ht="13.2" x14ac:dyDescent="0.25">
      <c r="A115" s="126"/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</row>
    <row r="116" spans="1:73" ht="13.2" x14ac:dyDescent="0.25">
      <c r="A116" s="126"/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</row>
    <row r="117" spans="1:73" ht="13.2" x14ac:dyDescent="0.25">
      <c r="A117" s="126"/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</row>
    <row r="118" spans="1:73" ht="13.2" x14ac:dyDescent="0.25">
      <c r="A118" s="126"/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126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</row>
    <row r="119" spans="1:73" ht="13.2" x14ac:dyDescent="0.25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6"/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</row>
    <row r="120" spans="1:73" ht="13.2" x14ac:dyDescent="0.25">
      <c r="A120" s="126"/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</row>
    <row r="121" spans="1:73" ht="13.2" x14ac:dyDescent="0.25">
      <c r="A121" s="126"/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126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</row>
    <row r="122" spans="1:73" ht="13.2" x14ac:dyDescent="0.25">
      <c r="A122" s="126"/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</row>
    <row r="123" spans="1:73" ht="13.2" x14ac:dyDescent="0.25">
      <c r="A123" s="126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</row>
    <row r="124" spans="1:73" ht="13.2" x14ac:dyDescent="0.25">
      <c r="A124" s="126"/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</row>
    <row r="125" spans="1:73" ht="13.2" x14ac:dyDescent="0.25">
      <c r="A125" s="126"/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</row>
    <row r="126" spans="1:73" ht="13.2" x14ac:dyDescent="0.25">
      <c r="A126" s="126"/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126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</row>
    <row r="127" spans="1:73" ht="13.2" x14ac:dyDescent="0.25">
      <c r="A127" s="126"/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</row>
    <row r="128" spans="1:73" ht="13.2" x14ac:dyDescent="0.25">
      <c r="A128" s="126"/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126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</row>
    <row r="129" spans="1:73" ht="13.2" x14ac:dyDescent="0.25">
      <c r="A129" s="126"/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/>
      <c r="AI129" s="126"/>
      <c r="AJ129" s="126"/>
      <c r="AK129" s="126"/>
      <c r="AL129" s="126"/>
      <c r="AM129" s="126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</row>
    <row r="130" spans="1:73" ht="13.2" x14ac:dyDescent="0.25">
      <c r="A130" s="126"/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</row>
    <row r="131" spans="1:73" ht="13.2" x14ac:dyDescent="0.25">
      <c r="A131" s="126"/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</row>
    <row r="132" spans="1:73" ht="13.2" x14ac:dyDescent="0.25">
      <c r="A132" s="126"/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6"/>
      <c r="AG132" s="126"/>
      <c r="AH132" s="126"/>
      <c r="AI132" s="126"/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</row>
    <row r="133" spans="1:73" ht="13.2" x14ac:dyDescent="0.25">
      <c r="A133" s="126"/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</row>
    <row r="134" spans="1:73" ht="13.2" x14ac:dyDescent="0.25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  <c r="BM134" s="126"/>
      <c r="BN134" s="126"/>
      <c r="BO134" s="126"/>
      <c r="BP134" s="126"/>
      <c r="BQ134" s="126"/>
      <c r="BR134" s="126"/>
      <c r="BS134" s="126"/>
      <c r="BT134" s="126"/>
      <c r="BU134" s="126"/>
    </row>
    <row r="135" spans="1:73" ht="13.2" x14ac:dyDescent="0.25">
      <c r="A135" s="126"/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126"/>
      <c r="AA135" s="126"/>
      <c r="AB135" s="126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</row>
    <row r="136" spans="1:73" ht="13.2" x14ac:dyDescent="0.25">
      <c r="A136" s="126"/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126"/>
      <c r="AA136" s="126"/>
      <c r="AB136" s="126"/>
      <c r="AC136" s="126"/>
      <c r="AD136" s="126"/>
      <c r="AE136" s="126"/>
      <c r="AF136" s="126"/>
      <c r="AG136" s="126"/>
      <c r="AH136" s="126"/>
      <c r="AI136" s="126"/>
      <c r="AJ136" s="126"/>
      <c r="AK136" s="126"/>
      <c r="AL136" s="126"/>
      <c r="AM136" s="126"/>
      <c r="AN136" s="126"/>
      <c r="AO136" s="126"/>
      <c r="AP136" s="126"/>
      <c r="AQ136" s="126"/>
      <c r="AR136" s="126"/>
      <c r="AS136" s="126"/>
      <c r="AT136" s="126"/>
      <c r="AU136" s="126"/>
      <c r="AV136" s="126"/>
      <c r="AW136" s="126"/>
      <c r="AX136" s="126"/>
      <c r="AY136" s="126"/>
      <c r="AZ136" s="126"/>
      <c r="BA136" s="126"/>
      <c r="BB136" s="126"/>
      <c r="BC136" s="126"/>
      <c r="BD136" s="126"/>
      <c r="BE136" s="126"/>
      <c r="BF136" s="126"/>
      <c r="BG136" s="126"/>
      <c r="BH136" s="126"/>
      <c r="BI136" s="126"/>
      <c r="BJ136" s="126"/>
      <c r="BK136" s="126"/>
      <c r="BL136" s="126"/>
      <c r="BM136" s="126"/>
      <c r="BN136" s="126"/>
      <c r="BO136" s="126"/>
      <c r="BP136" s="126"/>
      <c r="BQ136" s="126"/>
      <c r="BR136" s="126"/>
      <c r="BS136" s="126"/>
      <c r="BT136" s="126"/>
      <c r="BU136" s="126"/>
    </row>
    <row r="137" spans="1:73" ht="13.2" x14ac:dyDescent="0.25">
      <c r="A137" s="126"/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126"/>
      <c r="AA137" s="126"/>
      <c r="AB137" s="126"/>
      <c r="AC137" s="126"/>
      <c r="AD137" s="126"/>
      <c r="AE137" s="126"/>
      <c r="AF137" s="126"/>
      <c r="AG137" s="126"/>
      <c r="AH137" s="126"/>
      <c r="AI137" s="126"/>
      <c r="AJ137" s="126"/>
      <c r="AK137" s="126"/>
      <c r="AL137" s="126"/>
      <c r="AM137" s="126"/>
      <c r="AN137" s="126"/>
      <c r="AO137" s="126"/>
      <c r="AP137" s="126"/>
      <c r="AQ137" s="126"/>
      <c r="AR137" s="126"/>
      <c r="AS137" s="126"/>
      <c r="AT137" s="126"/>
      <c r="AU137" s="126"/>
      <c r="AV137" s="126"/>
      <c r="AW137" s="126"/>
      <c r="AX137" s="126"/>
      <c r="AY137" s="126"/>
      <c r="AZ137" s="126"/>
      <c r="BA137" s="126"/>
      <c r="BB137" s="126"/>
      <c r="BC137" s="126"/>
      <c r="BD137" s="126"/>
      <c r="BE137" s="126"/>
      <c r="BF137" s="126"/>
      <c r="BG137" s="126"/>
      <c r="BH137" s="126"/>
      <c r="BI137" s="126"/>
      <c r="BJ137" s="126"/>
      <c r="BK137" s="126"/>
      <c r="BL137" s="126"/>
      <c r="BM137" s="126"/>
      <c r="BN137" s="126"/>
      <c r="BO137" s="126"/>
      <c r="BP137" s="126"/>
      <c r="BQ137" s="126"/>
      <c r="BR137" s="126"/>
      <c r="BS137" s="126"/>
      <c r="BT137" s="126"/>
      <c r="BU137" s="126"/>
    </row>
    <row r="138" spans="1:73" ht="13.2" x14ac:dyDescent="0.25">
      <c r="A138" s="126"/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126"/>
      <c r="AA138" s="126"/>
      <c r="AB138" s="126"/>
      <c r="AC138" s="126"/>
      <c r="AD138" s="126"/>
      <c r="AE138" s="126"/>
      <c r="AF138" s="126"/>
      <c r="AG138" s="126"/>
      <c r="AH138" s="126"/>
      <c r="AI138" s="126"/>
      <c r="AJ138" s="126"/>
      <c r="AK138" s="126"/>
      <c r="AL138" s="126"/>
      <c r="AM138" s="126"/>
      <c r="AN138" s="126"/>
      <c r="AO138" s="126"/>
      <c r="AP138" s="126"/>
      <c r="AQ138" s="126"/>
      <c r="AR138" s="126"/>
      <c r="AS138" s="126"/>
      <c r="AT138" s="126"/>
      <c r="AU138" s="126"/>
      <c r="AV138" s="126"/>
      <c r="AW138" s="126"/>
      <c r="AX138" s="126"/>
      <c r="AY138" s="126"/>
      <c r="AZ138" s="126"/>
      <c r="BA138" s="126"/>
      <c r="BB138" s="126"/>
      <c r="BC138" s="126"/>
      <c r="BD138" s="126"/>
      <c r="BE138" s="126"/>
      <c r="BF138" s="126"/>
      <c r="BG138" s="126"/>
      <c r="BH138" s="126"/>
      <c r="BI138" s="126"/>
      <c r="BJ138" s="126"/>
      <c r="BK138" s="126"/>
      <c r="BL138" s="126"/>
      <c r="BM138" s="126"/>
      <c r="BN138" s="126"/>
      <c r="BO138" s="126"/>
      <c r="BP138" s="126"/>
      <c r="BQ138" s="126"/>
      <c r="BR138" s="126"/>
      <c r="BS138" s="126"/>
      <c r="BT138" s="126"/>
      <c r="BU138" s="126"/>
    </row>
    <row r="139" spans="1:73" ht="13.2" x14ac:dyDescent="0.25">
      <c r="A139" s="126"/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126"/>
      <c r="AA139" s="126"/>
      <c r="AB139" s="126"/>
      <c r="AC139" s="126"/>
      <c r="AD139" s="126"/>
      <c r="AE139" s="126"/>
      <c r="AF139" s="126"/>
      <c r="AG139" s="126"/>
      <c r="AH139" s="126"/>
      <c r="AI139" s="126"/>
      <c r="AJ139" s="126"/>
      <c r="AK139" s="126"/>
      <c r="AL139" s="126"/>
      <c r="AM139" s="126"/>
      <c r="AN139" s="126"/>
      <c r="AO139" s="126"/>
      <c r="AP139" s="126"/>
      <c r="AQ139" s="126"/>
      <c r="AR139" s="126"/>
      <c r="AS139" s="126"/>
      <c r="AT139" s="126"/>
      <c r="AU139" s="126"/>
      <c r="AV139" s="126"/>
      <c r="AW139" s="126"/>
      <c r="AX139" s="126"/>
      <c r="AY139" s="126"/>
      <c r="AZ139" s="126"/>
      <c r="BA139" s="126"/>
      <c r="BB139" s="126"/>
      <c r="BC139" s="126"/>
      <c r="BD139" s="126"/>
      <c r="BE139" s="126"/>
      <c r="BF139" s="126"/>
      <c r="BG139" s="126"/>
      <c r="BH139" s="126"/>
      <c r="BI139" s="126"/>
      <c r="BJ139" s="126"/>
      <c r="BK139" s="126"/>
      <c r="BL139" s="126"/>
      <c r="BM139" s="126"/>
      <c r="BN139" s="126"/>
      <c r="BO139" s="126"/>
      <c r="BP139" s="126"/>
      <c r="BQ139" s="126"/>
      <c r="BR139" s="126"/>
      <c r="BS139" s="126"/>
      <c r="BT139" s="126"/>
      <c r="BU139" s="126"/>
    </row>
    <row r="140" spans="1:73" ht="13.2" x14ac:dyDescent="0.25">
      <c r="A140" s="126"/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126"/>
      <c r="AA140" s="126"/>
      <c r="AB140" s="126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</row>
    <row r="141" spans="1:73" ht="13.2" x14ac:dyDescent="0.25">
      <c r="A141" s="126"/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126"/>
      <c r="AA141" s="126"/>
      <c r="AB141" s="126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</row>
    <row r="142" spans="1:73" ht="13.2" x14ac:dyDescent="0.25">
      <c r="A142" s="126"/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</row>
    <row r="143" spans="1:73" ht="13.2" x14ac:dyDescent="0.25">
      <c r="A143" s="126"/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</row>
    <row r="144" spans="1:73" ht="13.2" x14ac:dyDescent="0.25">
      <c r="A144" s="126"/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  <c r="AM144" s="126"/>
      <c r="AN144" s="126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6"/>
      <c r="BA144" s="126"/>
      <c r="BB144" s="126"/>
      <c r="BC144" s="126"/>
      <c r="BD144" s="126"/>
      <c r="BE144" s="126"/>
      <c r="BF144" s="126"/>
      <c r="BG144" s="126"/>
      <c r="BH144" s="126"/>
      <c r="BI144" s="126"/>
      <c r="BJ144" s="126"/>
      <c r="BK144" s="126"/>
      <c r="BL144" s="126"/>
      <c r="BM144" s="126"/>
      <c r="BN144" s="126"/>
      <c r="BO144" s="126"/>
      <c r="BP144" s="126"/>
      <c r="BQ144" s="126"/>
      <c r="BR144" s="126"/>
      <c r="BS144" s="126"/>
      <c r="BT144" s="126"/>
      <c r="BU144" s="126"/>
    </row>
    <row r="145" spans="1:73" ht="13.2" x14ac:dyDescent="0.25">
      <c r="A145" s="126"/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126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  <c r="AM145" s="126"/>
      <c r="AN145" s="126"/>
      <c r="AO145" s="126"/>
      <c r="AP145" s="126"/>
      <c r="AQ145" s="126"/>
      <c r="AR145" s="126"/>
      <c r="AS145" s="126"/>
      <c r="AT145" s="126"/>
      <c r="AU145" s="126"/>
      <c r="AV145" s="126"/>
      <c r="AW145" s="126"/>
      <c r="AX145" s="126"/>
      <c r="AY145" s="126"/>
      <c r="AZ145" s="126"/>
      <c r="BA145" s="126"/>
      <c r="BB145" s="126"/>
      <c r="BC145" s="126"/>
      <c r="BD145" s="126"/>
      <c r="BE145" s="126"/>
      <c r="BF145" s="126"/>
      <c r="BG145" s="126"/>
      <c r="BH145" s="126"/>
      <c r="BI145" s="126"/>
      <c r="BJ145" s="126"/>
      <c r="BK145" s="126"/>
      <c r="BL145" s="126"/>
      <c r="BM145" s="126"/>
      <c r="BN145" s="126"/>
      <c r="BO145" s="126"/>
      <c r="BP145" s="126"/>
      <c r="BQ145" s="126"/>
      <c r="BR145" s="126"/>
      <c r="BS145" s="126"/>
      <c r="BT145" s="126"/>
      <c r="BU145" s="126"/>
    </row>
    <row r="146" spans="1:73" ht="13.2" x14ac:dyDescent="0.25">
      <c r="A146" s="126"/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126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6"/>
      <c r="AR146" s="126"/>
      <c r="AS146" s="126"/>
      <c r="AT146" s="126"/>
      <c r="AU146" s="126"/>
      <c r="AV146" s="126"/>
      <c r="AW146" s="126"/>
      <c r="AX146" s="126"/>
      <c r="AY146" s="126"/>
      <c r="AZ146" s="126"/>
      <c r="BA146" s="126"/>
      <c r="BB146" s="126"/>
      <c r="BC146" s="126"/>
      <c r="BD146" s="126"/>
      <c r="BE146" s="126"/>
      <c r="BF146" s="126"/>
      <c r="BG146" s="126"/>
      <c r="BH146" s="126"/>
      <c r="BI146" s="126"/>
      <c r="BJ146" s="126"/>
      <c r="BK146" s="126"/>
      <c r="BL146" s="126"/>
      <c r="BM146" s="126"/>
      <c r="BN146" s="126"/>
      <c r="BO146" s="126"/>
      <c r="BP146" s="126"/>
      <c r="BQ146" s="126"/>
      <c r="BR146" s="126"/>
      <c r="BS146" s="126"/>
      <c r="BT146" s="126"/>
      <c r="BU146" s="126"/>
    </row>
    <row r="147" spans="1:73" ht="13.2" x14ac:dyDescent="0.25">
      <c r="A147" s="126"/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  <c r="AM147" s="126"/>
      <c r="AN147" s="126"/>
      <c r="AO147" s="126"/>
      <c r="AP147" s="126"/>
      <c r="AQ147" s="126"/>
      <c r="AR147" s="126"/>
      <c r="AS147" s="126"/>
      <c r="AT147" s="126"/>
      <c r="AU147" s="126"/>
      <c r="AV147" s="126"/>
      <c r="AW147" s="126"/>
      <c r="AX147" s="126"/>
      <c r="AY147" s="126"/>
      <c r="AZ147" s="126"/>
      <c r="BA147" s="126"/>
      <c r="BB147" s="126"/>
      <c r="BC147" s="126"/>
      <c r="BD147" s="126"/>
      <c r="BE147" s="126"/>
      <c r="BF147" s="126"/>
      <c r="BG147" s="126"/>
      <c r="BH147" s="126"/>
      <c r="BI147" s="126"/>
      <c r="BJ147" s="126"/>
      <c r="BK147" s="126"/>
      <c r="BL147" s="126"/>
      <c r="BM147" s="126"/>
      <c r="BN147" s="126"/>
      <c r="BO147" s="126"/>
      <c r="BP147" s="126"/>
      <c r="BQ147" s="126"/>
      <c r="BR147" s="126"/>
      <c r="BS147" s="126"/>
      <c r="BT147" s="126"/>
      <c r="BU147" s="126"/>
    </row>
    <row r="148" spans="1:73" ht="13.2" x14ac:dyDescent="0.25">
      <c r="A148" s="126"/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126"/>
      <c r="BD148" s="126"/>
      <c r="BE148" s="126"/>
      <c r="BF148" s="126"/>
      <c r="BG148" s="126"/>
      <c r="BH148" s="126"/>
      <c r="BI148" s="126"/>
      <c r="BJ148" s="126"/>
      <c r="BK148" s="126"/>
      <c r="BL148" s="126"/>
      <c r="BM148" s="126"/>
      <c r="BN148" s="126"/>
      <c r="BO148" s="126"/>
      <c r="BP148" s="126"/>
      <c r="BQ148" s="126"/>
      <c r="BR148" s="126"/>
      <c r="BS148" s="126"/>
      <c r="BT148" s="126"/>
      <c r="BU148" s="126"/>
    </row>
    <row r="149" spans="1:73" ht="13.2" x14ac:dyDescent="0.25">
      <c r="A149" s="126"/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  <c r="AM149" s="126"/>
      <c r="AN149" s="126"/>
      <c r="AO149" s="126"/>
      <c r="AP149" s="126"/>
      <c r="AQ149" s="126"/>
      <c r="AR149" s="126"/>
      <c r="AS149" s="126"/>
      <c r="AT149" s="126"/>
      <c r="AU149" s="126"/>
      <c r="AV149" s="126"/>
      <c r="AW149" s="126"/>
      <c r="AX149" s="126"/>
      <c r="AY149" s="126"/>
      <c r="AZ149" s="126"/>
      <c r="BA149" s="126"/>
      <c r="BB149" s="126"/>
      <c r="BC149" s="126"/>
      <c r="BD149" s="126"/>
      <c r="BE149" s="126"/>
      <c r="BF149" s="126"/>
      <c r="BG149" s="126"/>
      <c r="BH149" s="126"/>
      <c r="BI149" s="126"/>
      <c r="BJ149" s="126"/>
      <c r="BK149" s="126"/>
      <c r="BL149" s="126"/>
      <c r="BM149" s="126"/>
      <c r="BN149" s="126"/>
      <c r="BO149" s="126"/>
      <c r="BP149" s="126"/>
      <c r="BQ149" s="126"/>
      <c r="BR149" s="126"/>
      <c r="BS149" s="126"/>
      <c r="BT149" s="126"/>
      <c r="BU149" s="126"/>
    </row>
    <row r="150" spans="1:73" ht="13.2" x14ac:dyDescent="0.25">
      <c r="A150" s="126"/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126"/>
      <c r="AN150" s="126"/>
      <c r="AO150" s="126"/>
      <c r="AP150" s="126"/>
      <c r="AQ150" s="126"/>
      <c r="AR150" s="126"/>
      <c r="AS150" s="126"/>
      <c r="AT150" s="126"/>
      <c r="AU150" s="126"/>
      <c r="AV150" s="126"/>
      <c r="AW150" s="126"/>
      <c r="AX150" s="126"/>
      <c r="AY150" s="126"/>
      <c r="AZ150" s="126"/>
      <c r="BA150" s="126"/>
      <c r="BB150" s="126"/>
      <c r="BC150" s="126"/>
      <c r="BD150" s="126"/>
      <c r="BE150" s="126"/>
      <c r="BF150" s="126"/>
      <c r="BG150" s="126"/>
      <c r="BH150" s="126"/>
      <c r="BI150" s="126"/>
      <c r="BJ150" s="126"/>
      <c r="BK150" s="126"/>
      <c r="BL150" s="126"/>
      <c r="BM150" s="126"/>
      <c r="BN150" s="126"/>
      <c r="BO150" s="126"/>
      <c r="BP150" s="126"/>
      <c r="BQ150" s="126"/>
      <c r="BR150" s="126"/>
      <c r="BS150" s="126"/>
      <c r="BT150" s="126"/>
      <c r="BU150" s="126"/>
    </row>
    <row r="151" spans="1:73" ht="13.2" x14ac:dyDescent="0.25">
      <c r="A151" s="126"/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  <c r="AM151" s="126"/>
      <c r="AN151" s="126"/>
      <c r="AO151" s="126"/>
      <c r="AP151" s="126"/>
      <c r="AQ151" s="126"/>
      <c r="AR151" s="126"/>
      <c r="AS151" s="126"/>
      <c r="AT151" s="126"/>
      <c r="AU151" s="126"/>
      <c r="AV151" s="126"/>
      <c r="AW151" s="126"/>
      <c r="AX151" s="126"/>
      <c r="AY151" s="126"/>
      <c r="AZ151" s="126"/>
      <c r="BA151" s="126"/>
      <c r="BB151" s="126"/>
      <c r="BC151" s="126"/>
      <c r="BD151" s="126"/>
      <c r="BE151" s="126"/>
      <c r="BF151" s="126"/>
      <c r="BG151" s="126"/>
      <c r="BH151" s="126"/>
      <c r="BI151" s="126"/>
      <c r="BJ151" s="126"/>
      <c r="BK151" s="126"/>
      <c r="BL151" s="126"/>
      <c r="BM151" s="126"/>
      <c r="BN151" s="126"/>
      <c r="BO151" s="126"/>
      <c r="BP151" s="126"/>
      <c r="BQ151" s="126"/>
      <c r="BR151" s="126"/>
      <c r="BS151" s="126"/>
      <c r="BT151" s="126"/>
      <c r="BU151" s="126"/>
    </row>
    <row r="152" spans="1:73" ht="13.2" x14ac:dyDescent="0.25">
      <c r="A152" s="126"/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26"/>
      <c r="AY152" s="126"/>
      <c r="AZ152" s="126"/>
      <c r="BA152" s="126"/>
      <c r="BB152" s="126"/>
      <c r="BC152" s="126"/>
      <c r="BD152" s="126"/>
      <c r="BE152" s="126"/>
      <c r="BF152" s="126"/>
      <c r="BG152" s="126"/>
      <c r="BH152" s="126"/>
      <c r="BI152" s="126"/>
      <c r="BJ152" s="126"/>
      <c r="BK152" s="126"/>
      <c r="BL152" s="126"/>
      <c r="BM152" s="126"/>
      <c r="BN152" s="126"/>
      <c r="BO152" s="126"/>
      <c r="BP152" s="126"/>
      <c r="BQ152" s="126"/>
      <c r="BR152" s="126"/>
      <c r="BS152" s="126"/>
      <c r="BT152" s="126"/>
      <c r="BU152" s="126"/>
    </row>
    <row r="153" spans="1:73" ht="13.2" x14ac:dyDescent="0.25">
      <c r="A153" s="126"/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26"/>
      <c r="AY153" s="126"/>
      <c r="AZ153" s="126"/>
      <c r="BA153" s="126"/>
      <c r="BB153" s="126"/>
      <c r="BC153" s="126"/>
      <c r="BD153" s="126"/>
      <c r="BE153" s="126"/>
      <c r="BF153" s="126"/>
      <c r="BG153" s="126"/>
      <c r="BH153" s="126"/>
      <c r="BI153" s="126"/>
      <c r="BJ153" s="126"/>
      <c r="BK153" s="126"/>
      <c r="BL153" s="126"/>
      <c r="BM153" s="126"/>
      <c r="BN153" s="126"/>
      <c r="BO153" s="126"/>
      <c r="BP153" s="126"/>
      <c r="BQ153" s="126"/>
      <c r="BR153" s="126"/>
      <c r="BS153" s="126"/>
      <c r="BT153" s="126"/>
      <c r="BU153" s="126"/>
    </row>
    <row r="154" spans="1:73" ht="13.2" x14ac:dyDescent="0.25">
      <c r="A154" s="126"/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26"/>
      <c r="AY154" s="126"/>
      <c r="AZ154" s="126"/>
      <c r="BA154" s="126"/>
      <c r="BB154" s="126"/>
      <c r="BC154" s="126"/>
      <c r="BD154" s="126"/>
      <c r="BE154" s="126"/>
      <c r="BF154" s="126"/>
      <c r="BG154" s="126"/>
      <c r="BH154" s="126"/>
      <c r="BI154" s="126"/>
      <c r="BJ154" s="126"/>
      <c r="BK154" s="126"/>
      <c r="BL154" s="126"/>
      <c r="BM154" s="126"/>
      <c r="BN154" s="126"/>
      <c r="BO154" s="126"/>
      <c r="BP154" s="126"/>
      <c r="BQ154" s="126"/>
      <c r="BR154" s="126"/>
      <c r="BS154" s="126"/>
      <c r="BT154" s="126"/>
      <c r="BU154" s="126"/>
    </row>
    <row r="155" spans="1:73" ht="13.2" x14ac:dyDescent="0.25">
      <c r="A155" s="126"/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26"/>
      <c r="AZ155" s="126"/>
      <c r="BA155" s="126"/>
      <c r="BB155" s="126"/>
      <c r="BC155" s="126"/>
      <c r="BD155" s="126"/>
      <c r="BE155" s="126"/>
      <c r="BF155" s="126"/>
      <c r="BG155" s="126"/>
      <c r="BH155" s="126"/>
      <c r="BI155" s="126"/>
      <c r="BJ155" s="126"/>
      <c r="BK155" s="126"/>
      <c r="BL155" s="126"/>
      <c r="BM155" s="126"/>
      <c r="BN155" s="126"/>
      <c r="BO155" s="126"/>
      <c r="BP155" s="126"/>
      <c r="BQ155" s="126"/>
      <c r="BR155" s="126"/>
      <c r="BS155" s="126"/>
      <c r="BT155" s="126"/>
      <c r="BU155" s="126"/>
    </row>
    <row r="156" spans="1:73" ht="13.2" x14ac:dyDescent="0.25">
      <c r="A156" s="126"/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26"/>
      <c r="AY156" s="126"/>
      <c r="AZ156" s="126"/>
      <c r="BA156" s="126"/>
      <c r="BB156" s="126"/>
      <c r="BC156" s="126"/>
      <c r="BD156" s="126"/>
      <c r="BE156" s="126"/>
      <c r="BF156" s="126"/>
      <c r="BG156" s="126"/>
      <c r="BH156" s="126"/>
      <c r="BI156" s="126"/>
      <c r="BJ156" s="126"/>
      <c r="BK156" s="126"/>
      <c r="BL156" s="126"/>
      <c r="BM156" s="126"/>
      <c r="BN156" s="126"/>
      <c r="BO156" s="126"/>
      <c r="BP156" s="126"/>
      <c r="BQ156" s="126"/>
      <c r="BR156" s="126"/>
      <c r="BS156" s="126"/>
      <c r="BT156" s="126"/>
      <c r="BU156" s="126"/>
    </row>
    <row r="157" spans="1:73" ht="13.2" x14ac:dyDescent="0.25">
      <c r="A157" s="126"/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26"/>
      <c r="AY157" s="126"/>
      <c r="AZ157" s="126"/>
      <c r="BA157" s="126"/>
      <c r="BB157" s="126"/>
      <c r="BC157" s="126"/>
      <c r="BD157" s="126"/>
      <c r="BE157" s="126"/>
      <c r="BF157" s="126"/>
      <c r="BG157" s="126"/>
      <c r="BH157" s="126"/>
      <c r="BI157" s="126"/>
      <c r="BJ157" s="126"/>
      <c r="BK157" s="126"/>
      <c r="BL157" s="126"/>
      <c r="BM157" s="126"/>
      <c r="BN157" s="126"/>
      <c r="BO157" s="126"/>
      <c r="BP157" s="126"/>
      <c r="BQ157" s="126"/>
      <c r="BR157" s="126"/>
      <c r="BS157" s="126"/>
      <c r="BT157" s="126"/>
      <c r="BU157" s="126"/>
    </row>
    <row r="158" spans="1:73" ht="13.2" x14ac:dyDescent="0.25">
      <c r="A158" s="126"/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26"/>
      <c r="AY158" s="126"/>
      <c r="AZ158" s="126"/>
      <c r="BA158" s="126"/>
      <c r="BB158" s="126"/>
      <c r="BC158" s="126"/>
      <c r="BD158" s="126"/>
      <c r="BE158" s="126"/>
      <c r="BF158" s="126"/>
      <c r="BG158" s="126"/>
      <c r="BH158" s="126"/>
      <c r="BI158" s="126"/>
      <c r="BJ158" s="126"/>
      <c r="BK158" s="126"/>
      <c r="BL158" s="126"/>
      <c r="BM158" s="126"/>
      <c r="BN158" s="126"/>
      <c r="BO158" s="126"/>
      <c r="BP158" s="126"/>
      <c r="BQ158" s="126"/>
      <c r="BR158" s="126"/>
      <c r="BS158" s="126"/>
      <c r="BT158" s="126"/>
      <c r="BU158" s="126"/>
    </row>
    <row r="159" spans="1:73" ht="13.2" x14ac:dyDescent="0.25">
      <c r="A159" s="126"/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26"/>
      <c r="AY159" s="126"/>
      <c r="AZ159" s="126"/>
      <c r="BA159" s="126"/>
      <c r="BB159" s="126"/>
      <c r="BC159" s="126"/>
      <c r="BD159" s="126"/>
      <c r="BE159" s="126"/>
      <c r="BF159" s="126"/>
      <c r="BG159" s="126"/>
      <c r="BH159" s="126"/>
      <c r="BI159" s="126"/>
      <c r="BJ159" s="126"/>
      <c r="BK159" s="126"/>
      <c r="BL159" s="126"/>
      <c r="BM159" s="126"/>
      <c r="BN159" s="126"/>
      <c r="BO159" s="126"/>
      <c r="BP159" s="126"/>
      <c r="BQ159" s="126"/>
      <c r="BR159" s="126"/>
      <c r="BS159" s="126"/>
      <c r="BT159" s="126"/>
      <c r="BU159" s="126"/>
    </row>
    <row r="160" spans="1:73" ht="13.2" x14ac:dyDescent="0.25">
      <c r="A160" s="126"/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26"/>
      <c r="AX160" s="126"/>
      <c r="AY160" s="126"/>
      <c r="AZ160" s="126"/>
      <c r="BA160" s="126"/>
      <c r="BB160" s="126"/>
      <c r="BC160" s="126"/>
      <c r="BD160" s="126"/>
      <c r="BE160" s="126"/>
      <c r="BF160" s="126"/>
      <c r="BG160" s="126"/>
      <c r="BH160" s="126"/>
      <c r="BI160" s="126"/>
      <c r="BJ160" s="126"/>
      <c r="BK160" s="126"/>
      <c r="BL160" s="126"/>
      <c r="BM160" s="126"/>
      <c r="BN160" s="126"/>
      <c r="BO160" s="126"/>
      <c r="BP160" s="126"/>
      <c r="BQ160" s="126"/>
      <c r="BR160" s="126"/>
      <c r="BS160" s="126"/>
      <c r="BT160" s="126"/>
      <c r="BU160" s="126"/>
    </row>
    <row r="161" spans="1:73" ht="13.2" x14ac:dyDescent="0.25">
      <c r="A161" s="126"/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6"/>
      <c r="BA161" s="126"/>
      <c r="BB161" s="126"/>
      <c r="BC161" s="126"/>
      <c r="BD161" s="126"/>
      <c r="BE161" s="126"/>
      <c r="BF161" s="126"/>
      <c r="BG161" s="126"/>
      <c r="BH161" s="126"/>
      <c r="BI161" s="126"/>
      <c r="BJ161" s="126"/>
      <c r="BK161" s="126"/>
      <c r="BL161" s="126"/>
      <c r="BM161" s="126"/>
      <c r="BN161" s="126"/>
      <c r="BO161" s="126"/>
      <c r="BP161" s="126"/>
      <c r="BQ161" s="126"/>
      <c r="BR161" s="126"/>
      <c r="BS161" s="126"/>
      <c r="BT161" s="126"/>
      <c r="BU161" s="126"/>
    </row>
    <row r="162" spans="1:73" ht="13.2" x14ac:dyDescent="0.25">
      <c r="A162" s="126"/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26"/>
      <c r="AY162" s="126"/>
      <c r="AZ162" s="126"/>
      <c r="BA162" s="126"/>
      <c r="BB162" s="126"/>
      <c r="BC162" s="126"/>
      <c r="BD162" s="126"/>
      <c r="BE162" s="126"/>
      <c r="BF162" s="126"/>
      <c r="BG162" s="126"/>
      <c r="BH162" s="126"/>
      <c r="BI162" s="126"/>
      <c r="BJ162" s="126"/>
      <c r="BK162" s="126"/>
      <c r="BL162" s="126"/>
      <c r="BM162" s="126"/>
      <c r="BN162" s="126"/>
      <c r="BO162" s="126"/>
      <c r="BP162" s="126"/>
      <c r="BQ162" s="126"/>
      <c r="BR162" s="126"/>
      <c r="BS162" s="126"/>
      <c r="BT162" s="126"/>
      <c r="BU162" s="126"/>
    </row>
    <row r="163" spans="1:73" ht="13.2" x14ac:dyDescent="0.25">
      <c r="A163" s="126"/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26"/>
      <c r="AY163" s="126"/>
      <c r="AZ163" s="126"/>
      <c r="BA163" s="126"/>
      <c r="BB163" s="126"/>
      <c r="BC163" s="126"/>
      <c r="BD163" s="126"/>
      <c r="BE163" s="126"/>
      <c r="BF163" s="126"/>
      <c r="BG163" s="126"/>
      <c r="BH163" s="126"/>
      <c r="BI163" s="126"/>
      <c r="BJ163" s="126"/>
      <c r="BK163" s="126"/>
      <c r="BL163" s="126"/>
      <c r="BM163" s="126"/>
      <c r="BN163" s="126"/>
      <c r="BO163" s="126"/>
      <c r="BP163" s="126"/>
      <c r="BQ163" s="126"/>
      <c r="BR163" s="126"/>
      <c r="BS163" s="126"/>
      <c r="BT163" s="126"/>
      <c r="BU163" s="126"/>
    </row>
    <row r="164" spans="1:73" ht="13.2" x14ac:dyDescent="0.25">
      <c r="A164" s="126"/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26"/>
      <c r="AY164" s="126"/>
      <c r="AZ164" s="126"/>
      <c r="BA164" s="126"/>
      <c r="BB164" s="126"/>
      <c r="BC164" s="126"/>
      <c r="BD164" s="126"/>
      <c r="BE164" s="126"/>
      <c r="BF164" s="126"/>
      <c r="BG164" s="126"/>
      <c r="BH164" s="126"/>
      <c r="BI164" s="126"/>
      <c r="BJ164" s="126"/>
      <c r="BK164" s="126"/>
      <c r="BL164" s="126"/>
      <c r="BM164" s="126"/>
      <c r="BN164" s="126"/>
      <c r="BO164" s="126"/>
      <c r="BP164" s="126"/>
      <c r="BQ164" s="126"/>
      <c r="BR164" s="126"/>
      <c r="BS164" s="126"/>
      <c r="BT164" s="126"/>
      <c r="BU164" s="126"/>
    </row>
    <row r="165" spans="1:73" ht="13.2" x14ac:dyDescent="0.25">
      <c r="A165" s="126"/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6"/>
      <c r="AY165" s="126"/>
      <c r="AZ165" s="126"/>
      <c r="BA165" s="126"/>
      <c r="BB165" s="126"/>
      <c r="BC165" s="126"/>
      <c r="BD165" s="126"/>
      <c r="BE165" s="126"/>
      <c r="BF165" s="126"/>
      <c r="BG165" s="126"/>
      <c r="BH165" s="126"/>
      <c r="BI165" s="126"/>
      <c r="BJ165" s="126"/>
      <c r="BK165" s="126"/>
      <c r="BL165" s="126"/>
      <c r="BM165" s="126"/>
      <c r="BN165" s="126"/>
      <c r="BO165" s="126"/>
      <c r="BP165" s="126"/>
      <c r="BQ165" s="126"/>
      <c r="BR165" s="126"/>
      <c r="BS165" s="126"/>
      <c r="BT165" s="126"/>
      <c r="BU165" s="126"/>
    </row>
    <row r="166" spans="1:73" ht="13.2" x14ac:dyDescent="0.25">
      <c r="A166" s="126"/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26"/>
      <c r="AY166" s="126"/>
      <c r="AZ166" s="126"/>
      <c r="BA166" s="126"/>
      <c r="BB166" s="126"/>
      <c r="BC166" s="126"/>
      <c r="BD166" s="126"/>
      <c r="BE166" s="126"/>
      <c r="BF166" s="126"/>
      <c r="BG166" s="126"/>
      <c r="BH166" s="126"/>
      <c r="BI166" s="126"/>
      <c r="BJ166" s="126"/>
      <c r="BK166" s="126"/>
      <c r="BL166" s="126"/>
      <c r="BM166" s="126"/>
      <c r="BN166" s="126"/>
      <c r="BO166" s="126"/>
      <c r="BP166" s="126"/>
      <c r="BQ166" s="126"/>
      <c r="BR166" s="126"/>
      <c r="BS166" s="126"/>
      <c r="BT166" s="126"/>
      <c r="BU166" s="126"/>
    </row>
    <row r="167" spans="1:73" ht="13.2" x14ac:dyDescent="0.25">
      <c r="A167" s="126"/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126"/>
      <c r="AN167" s="126"/>
      <c r="AO167" s="126"/>
      <c r="AP167" s="126"/>
      <c r="AQ167" s="126"/>
      <c r="AR167" s="126"/>
      <c r="AS167" s="126"/>
      <c r="AT167" s="126"/>
      <c r="AU167" s="126"/>
      <c r="AV167" s="126"/>
      <c r="AW167" s="126"/>
      <c r="AX167" s="126"/>
      <c r="AY167" s="126"/>
      <c r="AZ167" s="126"/>
      <c r="BA167" s="126"/>
      <c r="BB167" s="126"/>
      <c r="BC167" s="126"/>
      <c r="BD167" s="126"/>
      <c r="BE167" s="126"/>
      <c r="BF167" s="126"/>
      <c r="BG167" s="126"/>
      <c r="BH167" s="126"/>
      <c r="BI167" s="126"/>
      <c r="BJ167" s="126"/>
      <c r="BK167" s="126"/>
      <c r="BL167" s="126"/>
      <c r="BM167" s="126"/>
      <c r="BN167" s="126"/>
      <c r="BO167" s="126"/>
      <c r="BP167" s="126"/>
      <c r="BQ167" s="126"/>
      <c r="BR167" s="126"/>
      <c r="BS167" s="126"/>
      <c r="BT167" s="126"/>
      <c r="BU167" s="126"/>
    </row>
    <row r="168" spans="1:73" ht="13.2" x14ac:dyDescent="0.25">
      <c r="A168" s="126"/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126"/>
      <c r="AN168" s="126"/>
      <c r="AO168" s="126"/>
      <c r="AP168" s="126"/>
      <c r="AQ168" s="126"/>
      <c r="AR168" s="126"/>
      <c r="AS168" s="126"/>
      <c r="AT168" s="126"/>
      <c r="AU168" s="126"/>
      <c r="AV168" s="126"/>
      <c r="AW168" s="126"/>
      <c r="AX168" s="126"/>
      <c r="AY168" s="126"/>
      <c r="AZ168" s="126"/>
      <c r="BA168" s="126"/>
      <c r="BB168" s="126"/>
      <c r="BC168" s="126"/>
      <c r="BD168" s="126"/>
      <c r="BE168" s="126"/>
      <c r="BF168" s="126"/>
      <c r="BG168" s="126"/>
      <c r="BH168" s="126"/>
      <c r="BI168" s="126"/>
      <c r="BJ168" s="126"/>
      <c r="BK168" s="126"/>
      <c r="BL168" s="126"/>
      <c r="BM168" s="126"/>
      <c r="BN168" s="126"/>
      <c r="BO168" s="126"/>
      <c r="BP168" s="126"/>
      <c r="BQ168" s="126"/>
      <c r="BR168" s="126"/>
      <c r="BS168" s="126"/>
      <c r="BT168" s="126"/>
      <c r="BU168" s="126"/>
    </row>
    <row r="169" spans="1:73" ht="13.2" x14ac:dyDescent="0.25">
      <c r="A169" s="126"/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26"/>
      <c r="AY169" s="126"/>
      <c r="AZ169" s="126"/>
      <c r="BA169" s="126"/>
      <c r="BB169" s="126"/>
      <c r="BC169" s="126"/>
      <c r="BD169" s="126"/>
      <c r="BE169" s="126"/>
      <c r="BF169" s="126"/>
      <c r="BG169" s="126"/>
      <c r="BH169" s="126"/>
      <c r="BI169" s="126"/>
      <c r="BJ169" s="126"/>
      <c r="BK169" s="126"/>
      <c r="BL169" s="126"/>
      <c r="BM169" s="126"/>
      <c r="BN169" s="126"/>
      <c r="BO169" s="126"/>
      <c r="BP169" s="126"/>
      <c r="BQ169" s="126"/>
      <c r="BR169" s="126"/>
      <c r="BS169" s="126"/>
      <c r="BT169" s="126"/>
      <c r="BU169" s="126"/>
    </row>
    <row r="170" spans="1:73" ht="13.2" x14ac:dyDescent="0.25">
      <c r="A170" s="126"/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26"/>
      <c r="AY170" s="126"/>
      <c r="AZ170" s="126"/>
      <c r="BA170" s="126"/>
      <c r="BB170" s="126"/>
      <c r="BC170" s="126"/>
      <c r="BD170" s="126"/>
      <c r="BE170" s="126"/>
      <c r="BF170" s="126"/>
      <c r="BG170" s="126"/>
      <c r="BH170" s="126"/>
      <c r="BI170" s="126"/>
      <c r="BJ170" s="126"/>
      <c r="BK170" s="126"/>
      <c r="BL170" s="126"/>
      <c r="BM170" s="126"/>
      <c r="BN170" s="126"/>
      <c r="BO170" s="126"/>
      <c r="BP170" s="126"/>
      <c r="BQ170" s="126"/>
      <c r="BR170" s="126"/>
      <c r="BS170" s="126"/>
      <c r="BT170" s="126"/>
      <c r="BU170" s="126"/>
    </row>
    <row r="171" spans="1:73" ht="13.2" x14ac:dyDescent="0.25">
      <c r="A171" s="126"/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26"/>
      <c r="AY171" s="126"/>
      <c r="AZ171" s="126"/>
      <c r="BA171" s="126"/>
      <c r="BB171" s="126"/>
      <c r="BC171" s="126"/>
      <c r="BD171" s="126"/>
      <c r="BE171" s="126"/>
      <c r="BF171" s="126"/>
      <c r="BG171" s="126"/>
      <c r="BH171" s="126"/>
      <c r="BI171" s="126"/>
      <c r="BJ171" s="126"/>
      <c r="BK171" s="126"/>
      <c r="BL171" s="126"/>
      <c r="BM171" s="126"/>
      <c r="BN171" s="126"/>
      <c r="BO171" s="126"/>
      <c r="BP171" s="126"/>
      <c r="BQ171" s="126"/>
      <c r="BR171" s="126"/>
      <c r="BS171" s="126"/>
      <c r="BT171" s="126"/>
      <c r="BU171" s="126"/>
    </row>
    <row r="172" spans="1:73" ht="13.2" x14ac:dyDescent="0.25">
      <c r="A172" s="126"/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26"/>
      <c r="AZ172" s="126"/>
      <c r="BA172" s="126"/>
      <c r="BB172" s="126"/>
      <c r="BC172" s="126"/>
      <c r="BD172" s="126"/>
      <c r="BE172" s="126"/>
      <c r="BF172" s="126"/>
      <c r="BG172" s="126"/>
      <c r="BH172" s="126"/>
      <c r="BI172" s="126"/>
      <c r="BJ172" s="126"/>
      <c r="BK172" s="126"/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</row>
    <row r="173" spans="1:73" ht="13.2" x14ac:dyDescent="0.25">
      <c r="A173" s="126"/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26"/>
      <c r="AY173" s="126"/>
      <c r="AZ173" s="126"/>
      <c r="BA173" s="126"/>
      <c r="BB173" s="126"/>
      <c r="BC173" s="126"/>
      <c r="BD173" s="126"/>
      <c r="BE173" s="126"/>
      <c r="BF173" s="126"/>
      <c r="BG173" s="126"/>
      <c r="BH173" s="126"/>
      <c r="BI173" s="126"/>
      <c r="BJ173" s="126"/>
      <c r="BK173" s="126"/>
      <c r="BL173" s="126"/>
      <c r="BM173" s="126"/>
      <c r="BN173" s="126"/>
      <c r="BO173" s="126"/>
      <c r="BP173" s="126"/>
      <c r="BQ173" s="126"/>
      <c r="BR173" s="126"/>
      <c r="BS173" s="126"/>
      <c r="BT173" s="126"/>
      <c r="BU173" s="126"/>
    </row>
    <row r="174" spans="1:73" ht="13.2" x14ac:dyDescent="0.25">
      <c r="A174" s="126"/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</row>
    <row r="175" spans="1:73" ht="13.2" x14ac:dyDescent="0.25">
      <c r="A175" s="126"/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6"/>
      <c r="BC175" s="126"/>
      <c r="BD175" s="126"/>
      <c r="BE175" s="126"/>
      <c r="BF175" s="126"/>
      <c r="BG175" s="126"/>
      <c r="BH175" s="126"/>
      <c r="BI175" s="126"/>
      <c r="BJ175" s="126"/>
      <c r="BK175" s="126"/>
      <c r="BL175" s="126"/>
      <c r="BM175" s="126"/>
      <c r="BN175" s="126"/>
      <c r="BO175" s="126"/>
      <c r="BP175" s="126"/>
      <c r="BQ175" s="126"/>
      <c r="BR175" s="126"/>
      <c r="BS175" s="126"/>
      <c r="BT175" s="126"/>
      <c r="BU175" s="126"/>
    </row>
    <row r="176" spans="1:73" ht="13.2" x14ac:dyDescent="0.25">
      <c r="A176" s="126"/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6"/>
      <c r="AZ176" s="126"/>
      <c r="BA176" s="126"/>
      <c r="BB176" s="126"/>
      <c r="BC176" s="126"/>
      <c r="BD176" s="126"/>
      <c r="BE176" s="126"/>
      <c r="BF176" s="126"/>
      <c r="BG176" s="126"/>
      <c r="BH176" s="126"/>
      <c r="BI176" s="126"/>
      <c r="BJ176" s="126"/>
      <c r="BK176" s="126"/>
      <c r="BL176" s="126"/>
      <c r="BM176" s="126"/>
      <c r="BN176" s="126"/>
      <c r="BO176" s="126"/>
      <c r="BP176" s="126"/>
      <c r="BQ176" s="126"/>
      <c r="BR176" s="126"/>
      <c r="BS176" s="126"/>
      <c r="BT176" s="126"/>
      <c r="BU176" s="126"/>
    </row>
    <row r="177" spans="1:73" ht="13.2" x14ac:dyDescent="0.2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</row>
    <row r="178" spans="1:73" ht="13.2" x14ac:dyDescent="0.25">
      <c r="A178" s="126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</row>
    <row r="179" spans="1:73" ht="13.2" x14ac:dyDescent="0.25">
      <c r="A179" s="126"/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</row>
    <row r="180" spans="1:73" ht="13.2" x14ac:dyDescent="0.25">
      <c r="A180" s="126"/>
      <c r="B180" s="126"/>
      <c r="C180" s="126"/>
      <c r="D180" s="126"/>
      <c r="E180" s="126"/>
      <c r="F180" s="126"/>
      <c r="G180" s="126"/>
      <c r="H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126"/>
      <c r="AN180" s="126"/>
      <c r="AO180" s="126"/>
      <c r="AP180" s="126"/>
      <c r="AQ180" s="126"/>
      <c r="AR180" s="126"/>
      <c r="AS180" s="126"/>
      <c r="AT180" s="126"/>
      <c r="AU180" s="126"/>
      <c r="AV180" s="126"/>
      <c r="AW180" s="126"/>
      <c r="AX180" s="126"/>
      <c r="AY180" s="126"/>
      <c r="AZ180" s="126"/>
      <c r="BA180" s="126"/>
      <c r="BB180" s="126"/>
      <c r="BC180" s="126"/>
      <c r="BD180" s="126"/>
      <c r="BE180" s="126"/>
      <c r="BF180" s="126"/>
      <c r="BG180" s="126"/>
      <c r="BH180" s="126"/>
      <c r="BI180" s="126"/>
      <c r="BJ180" s="126"/>
      <c r="BK180" s="126"/>
      <c r="BL180" s="126"/>
      <c r="BM180" s="126"/>
      <c r="BN180" s="126"/>
      <c r="BO180" s="126"/>
      <c r="BP180" s="126"/>
      <c r="BQ180" s="126"/>
      <c r="BR180" s="126"/>
      <c r="BS180" s="126"/>
      <c r="BT180" s="126"/>
      <c r="BU180" s="126"/>
    </row>
    <row r="181" spans="1:73" ht="13.2" x14ac:dyDescent="0.25">
      <c r="A181" s="126"/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26"/>
      <c r="AO181" s="126"/>
      <c r="AP181" s="126"/>
      <c r="AQ181" s="126"/>
      <c r="AR181" s="126"/>
      <c r="AS181" s="126"/>
      <c r="AT181" s="126"/>
      <c r="AU181" s="126"/>
      <c r="AV181" s="126"/>
      <c r="AW181" s="126"/>
      <c r="AX181" s="126"/>
      <c r="AY181" s="126"/>
      <c r="AZ181" s="126"/>
      <c r="BA181" s="126"/>
      <c r="BB181" s="126"/>
      <c r="BC181" s="126"/>
      <c r="BD181" s="126"/>
      <c r="BE181" s="126"/>
      <c r="BF181" s="126"/>
      <c r="BG181" s="126"/>
      <c r="BH181" s="126"/>
      <c r="BI181" s="126"/>
      <c r="BJ181" s="126"/>
      <c r="BK181" s="126"/>
      <c r="BL181" s="126"/>
      <c r="BM181" s="126"/>
      <c r="BN181" s="126"/>
      <c r="BO181" s="126"/>
      <c r="BP181" s="126"/>
      <c r="BQ181" s="126"/>
      <c r="BR181" s="126"/>
      <c r="BS181" s="126"/>
      <c r="BT181" s="126"/>
      <c r="BU181" s="126"/>
    </row>
    <row r="182" spans="1:73" ht="13.2" x14ac:dyDescent="0.25">
      <c r="A182" s="126"/>
      <c r="B182" s="126"/>
      <c r="C182" s="126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/>
      <c r="AD182" s="126"/>
      <c r="AE182" s="126"/>
      <c r="AF182" s="126"/>
      <c r="AG182" s="126"/>
      <c r="AH182" s="126"/>
      <c r="AI182" s="126"/>
      <c r="AJ182" s="126"/>
      <c r="AK182" s="126"/>
      <c r="AL182" s="126"/>
      <c r="AM182" s="126"/>
      <c r="AN182" s="126"/>
      <c r="AO182" s="126"/>
      <c r="AP182" s="126"/>
      <c r="AQ182" s="126"/>
      <c r="AR182" s="126"/>
      <c r="AS182" s="126"/>
      <c r="AT182" s="126"/>
      <c r="AU182" s="126"/>
      <c r="AV182" s="126"/>
      <c r="AW182" s="126"/>
      <c r="AX182" s="126"/>
      <c r="AY182" s="126"/>
      <c r="AZ182" s="126"/>
      <c r="BA182" s="126"/>
      <c r="BB182" s="126"/>
      <c r="BC182" s="126"/>
      <c r="BD182" s="126"/>
      <c r="BE182" s="126"/>
      <c r="BF182" s="126"/>
      <c r="BG182" s="126"/>
      <c r="BH182" s="126"/>
      <c r="BI182" s="126"/>
      <c r="BJ182" s="126"/>
      <c r="BK182" s="126"/>
      <c r="BL182" s="126"/>
      <c r="BM182" s="126"/>
      <c r="BN182" s="126"/>
      <c r="BO182" s="126"/>
      <c r="BP182" s="126"/>
      <c r="BQ182" s="126"/>
      <c r="BR182" s="126"/>
      <c r="BS182" s="126"/>
      <c r="BT182" s="126"/>
      <c r="BU182" s="126"/>
    </row>
    <row r="183" spans="1:73" ht="13.2" x14ac:dyDescent="0.25">
      <c r="A183" s="126"/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126"/>
      <c r="AN183" s="126"/>
      <c r="AO183" s="126"/>
      <c r="AP183" s="126"/>
      <c r="AQ183" s="126"/>
      <c r="AR183" s="126"/>
      <c r="AS183" s="126"/>
      <c r="AT183" s="126"/>
      <c r="AU183" s="126"/>
      <c r="AV183" s="126"/>
      <c r="AW183" s="126"/>
      <c r="AX183" s="126"/>
      <c r="AY183" s="126"/>
      <c r="AZ183" s="126"/>
      <c r="BA183" s="126"/>
      <c r="BB183" s="126"/>
      <c r="BC183" s="126"/>
      <c r="BD183" s="126"/>
      <c r="BE183" s="126"/>
      <c r="BF183" s="126"/>
      <c r="BG183" s="126"/>
      <c r="BH183" s="126"/>
      <c r="BI183" s="126"/>
      <c r="BJ183" s="126"/>
      <c r="BK183" s="126"/>
      <c r="BL183" s="126"/>
      <c r="BM183" s="126"/>
      <c r="BN183" s="126"/>
      <c r="BO183" s="126"/>
      <c r="BP183" s="126"/>
      <c r="BQ183" s="126"/>
      <c r="BR183" s="126"/>
      <c r="BS183" s="126"/>
      <c r="BT183" s="126"/>
      <c r="BU183" s="126"/>
    </row>
    <row r="184" spans="1:73" ht="13.2" x14ac:dyDescent="0.25">
      <c r="A184" s="126"/>
      <c r="B184" s="126"/>
      <c r="C184" s="126"/>
      <c r="D184" s="126"/>
      <c r="E184" s="126"/>
      <c r="F184" s="126"/>
      <c r="G184" s="126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126"/>
      <c r="AL184" s="126"/>
      <c r="AM184" s="126"/>
      <c r="AN184" s="126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6"/>
      <c r="BA184" s="126"/>
      <c r="BB184" s="126"/>
      <c r="BC184" s="126"/>
      <c r="BD184" s="126"/>
      <c r="BE184" s="126"/>
      <c r="BF184" s="126"/>
      <c r="BG184" s="126"/>
      <c r="BH184" s="126"/>
      <c r="BI184" s="126"/>
      <c r="BJ184" s="126"/>
      <c r="BK184" s="126"/>
      <c r="BL184" s="126"/>
      <c r="BM184" s="126"/>
      <c r="BN184" s="126"/>
      <c r="BO184" s="126"/>
      <c r="BP184" s="126"/>
      <c r="BQ184" s="126"/>
      <c r="BR184" s="126"/>
      <c r="BS184" s="126"/>
      <c r="BT184" s="126"/>
      <c r="BU184" s="126"/>
    </row>
    <row r="185" spans="1:73" ht="13.2" x14ac:dyDescent="0.25">
      <c r="A185" s="126"/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126"/>
      <c r="AN185" s="126"/>
      <c r="AO185" s="126"/>
      <c r="AP185" s="126"/>
      <c r="AQ185" s="126"/>
      <c r="AR185" s="126"/>
      <c r="AS185" s="126"/>
      <c r="AT185" s="126"/>
      <c r="AU185" s="126"/>
      <c r="AV185" s="126"/>
      <c r="AW185" s="126"/>
      <c r="AX185" s="126"/>
      <c r="AY185" s="126"/>
      <c r="AZ185" s="126"/>
      <c r="BA185" s="126"/>
      <c r="BB185" s="126"/>
      <c r="BC185" s="126"/>
      <c r="BD185" s="126"/>
      <c r="BE185" s="126"/>
      <c r="BF185" s="126"/>
      <c r="BG185" s="126"/>
      <c r="BH185" s="126"/>
      <c r="BI185" s="126"/>
      <c r="BJ185" s="126"/>
      <c r="BK185" s="126"/>
      <c r="BL185" s="126"/>
      <c r="BM185" s="126"/>
      <c r="BN185" s="126"/>
      <c r="BO185" s="126"/>
      <c r="BP185" s="126"/>
      <c r="BQ185" s="126"/>
      <c r="BR185" s="126"/>
      <c r="BS185" s="126"/>
      <c r="BT185" s="126"/>
      <c r="BU185" s="126"/>
    </row>
    <row r="186" spans="1:73" ht="13.2" x14ac:dyDescent="0.25">
      <c r="A186" s="126"/>
      <c r="B186" s="126"/>
      <c r="C186" s="126"/>
      <c r="D186" s="126"/>
      <c r="E186" s="126"/>
      <c r="F186" s="126"/>
      <c r="G186" s="126"/>
      <c r="H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/>
      <c r="AC186" s="126"/>
      <c r="AD186" s="126"/>
      <c r="AE186" s="126"/>
      <c r="AF186" s="126"/>
      <c r="AG186" s="126"/>
      <c r="AH186" s="126"/>
      <c r="AI186" s="126"/>
      <c r="AJ186" s="126"/>
      <c r="AK186" s="126"/>
      <c r="AL186" s="126"/>
      <c r="AM186" s="126"/>
      <c r="AN186" s="126"/>
      <c r="AO186" s="126"/>
      <c r="AP186" s="126"/>
      <c r="AQ186" s="126"/>
      <c r="AR186" s="126"/>
      <c r="AS186" s="126"/>
      <c r="AT186" s="126"/>
      <c r="AU186" s="126"/>
      <c r="AV186" s="126"/>
      <c r="AW186" s="126"/>
      <c r="AX186" s="126"/>
      <c r="AY186" s="126"/>
      <c r="AZ186" s="126"/>
      <c r="BA186" s="126"/>
      <c r="BB186" s="126"/>
      <c r="BC186" s="126"/>
      <c r="BD186" s="126"/>
      <c r="BE186" s="126"/>
      <c r="BF186" s="126"/>
      <c r="BG186" s="126"/>
      <c r="BH186" s="126"/>
      <c r="BI186" s="126"/>
      <c r="BJ186" s="126"/>
      <c r="BK186" s="126"/>
      <c r="BL186" s="126"/>
      <c r="BM186" s="126"/>
      <c r="BN186" s="126"/>
      <c r="BO186" s="126"/>
      <c r="BP186" s="126"/>
      <c r="BQ186" s="126"/>
      <c r="BR186" s="126"/>
      <c r="BS186" s="126"/>
      <c r="BT186" s="126"/>
      <c r="BU186" s="126"/>
    </row>
    <row r="187" spans="1:73" ht="13.2" x14ac:dyDescent="0.25">
      <c r="A187" s="126"/>
      <c r="B187" s="126"/>
      <c r="C187" s="126"/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126"/>
      <c r="AN187" s="126"/>
      <c r="AO187" s="126"/>
      <c r="AP187" s="126"/>
      <c r="AQ187" s="126"/>
      <c r="AR187" s="126"/>
      <c r="AS187" s="126"/>
      <c r="AT187" s="126"/>
      <c r="AU187" s="126"/>
      <c r="AV187" s="126"/>
      <c r="AW187" s="126"/>
      <c r="AX187" s="126"/>
      <c r="AY187" s="126"/>
      <c r="AZ187" s="126"/>
      <c r="BA187" s="126"/>
      <c r="BB187" s="126"/>
      <c r="BC187" s="126"/>
      <c r="BD187" s="126"/>
      <c r="BE187" s="126"/>
      <c r="BF187" s="126"/>
      <c r="BG187" s="126"/>
      <c r="BH187" s="126"/>
      <c r="BI187" s="126"/>
      <c r="BJ187" s="126"/>
      <c r="BK187" s="126"/>
      <c r="BL187" s="126"/>
      <c r="BM187" s="126"/>
      <c r="BN187" s="126"/>
      <c r="BO187" s="126"/>
      <c r="BP187" s="126"/>
      <c r="BQ187" s="126"/>
      <c r="BR187" s="126"/>
      <c r="BS187" s="126"/>
      <c r="BT187" s="126"/>
      <c r="BU187" s="126"/>
    </row>
    <row r="188" spans="1:73" ht="13.2" x14ac:dyDescent="0.25">
      <c r="A188" s="126"/>
      <c r="B188" s="126"/>
      <c r="C188" s="126"/>
      <c r="D188" s="126"/>
      <c r="E188" s="126"/>
      <c r="F188" s="126"/>
      <c r="G188" s="126"/>
      <c r="H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126"/>
      <c r="AN188" s="126"/>
      <c r="AO188" s="126"/>
      <c r="AP188" s="126"/>
      <c r="AQ188" s="126"/>
      <c r="AR188" s="126"/>
      <c r="AS188" s="126"/>
      <c r="AT188" s="126"/>
      <c r="AU188" s="126"/>
      <c r="AV188" s="126"/>
      <c r="AW188" s="126"/>
      <c r="AX188" s="126"/>
      <c r="AY188" s="126"/>
      <c r="AZ188" s="126"/>
      <c r="BA188" s="126"/>
      <c r="BB188" s="126"/>
      <c r="BC188" s="126"/>
      <c r="BD188" s="126"/>
      <c r="BE188" s="126"/>
      <c r="BF188" s="126"/>
      <c r="BG188" s="126"/>
      <c r="BH188" s="126"/>
      <c r="BI188" s="126"/>
      <c r="BJ188" s="126"/>
      <c r="BK188" s="126"/>
      <c r="BL188" s="126"/>
      <c r="BM188" s="126"/>
      <c r="BN188" s="126"/>
      <c r="BO188" s="126"/>
      <c r="BP188" s="126"/>
      <c r="BQ188" s="126"/>
      <c r="BR188" s="126"/>
      <c r="BS188" s="126"/>
      <c r="BT188" s="126"/>
      <c r="BU188" s="12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Z939"/>
  <sheetViews>
    <sheetView workbookViewId="0"/>
  </sheetViews>
  <sheetFormatPr defaultColWidth="14.44140625" defaultRowHeight="15.75" customHeight="1" x14ac:dyDescent="0.25"/>
  <cols>
    <col min="1" max="1" width="30.5546875" customWidth="1"/>
    <col min="3" max="3" width="13.44140625" customWidth="1"/>
    <col min="4" max="4" width="7.33203125" customWidth="1"/>
    <col min="5" max="5" width="25.5546875" customWidth="1"/>
  </cols>
  <sheetData>
    <row r="1" spans="1:26" ht="6.75" customHeight="1" x14ac:dyDescent="0.25">
      <c r="A1" s="1"/>
      <c r="B1" s="1"/>
      <c r="C1" s="1"/>
      <c r="D1" s="1"/>
      <c r="E1" s="1"/>
      <c r="F1" s="1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.75" customHeight="1" x14ac:dyDescent="0.3">
      <c r="A2" s="5"/>
      <c r="B2" s="5"/>
      <c r="C2" s="5"/>
      <c r="D2" s="9"/>
      <c r="E2" s="9"/>
      <c r="F2" s="9"/>
      <c r="G2" s="2"/>
      <c r="H2" s="2"/>
      <c r="I2" s="2"/>
      <c r="J2" s="2"/>
      <c r="K2" s="2"/>
      <c r="L2" s="2"/>
      <c r="M2" s="2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399999999999999" x14ac:dyDescent="0.3">
      <c r="A3" s="97" t="s">
        <v>307</v>
      </c>
      <c r="B3" s="5"/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8" x14ac:dyDescent="0.25">
      <c r="A4" s="10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6" x14ac:dyDescent="0.3">
      <c r="A5" s="142" t="s">
        <v>308</v>
      </c>
      <c r="B5" s="143"/>
      <c r="C5" s="143"/>
      <c r="D5" s="143"/>
      <c r="E5" s="143"/>
      <c r="F5" s="143"/>
      <c r="G5" s="65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8" x14ac:dyDescent="0.25">
      <c r="A6" s="12"/>
      <c r="B6" s="13" t="s">
        <v>4</v>
      </c>
      <c r="C6" s="15" t="s">
        <v>5</v>
      </c>
      <c r="D6" s="2"/>
      <c r="E6" s="1"/>
      <c r="F6" s="1"/>
      <c r="G6" s="1"/>
      <c r="I6" s="2"/>
      <c r="J6" s="2"/>
      <c r="K6" s="2"/>
      <c r="L6" s="2"/>
      <c r="M6" s="2"/>
      <c r="N6" s="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8" x14ac:dyDescent="0.25">
      <c r="A7" s="16" t="s">
        <v>18</v>
      </c>
      <c r="B7" s="18">
        <f>COUNTIF(Data!BI$2:BI$500,1)</f>
        <v>23</v>
      </c>
      <c r="C7" s="20">
        <f>B7/COUNT(Data!$A$2:$A$500)</f>
        <v>0.76666666666666672</v>
      </c>
      <c r="D7" s="2"/>
      <c r="E7" s="1"/>
      <c r="F7" s="1"/>
      <c r="G7" s="25"/>
      <c r="I7" s="2"/>
      <c r="J7" s="2"/>
      <c r="K7" s="2"/>
      <c r="L7" s="2"/>
      <c r="M7" s="2"/>
      <c r="N7" s="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8" x14ac:dyDescent="0.25">
      <c r="A8" s="16" t="s">
        <v>20</v>
      </c>
      <c r="B8" s="18">
        <f>COUNTIF(Data!BI$2:BI$500,2)</f>
        <v>0</v>
      </c>
      <c r="C8" s="20">
        <f>B8/COUNT(Data!$A$2:$A$500)</f>
        <v>0</v>
      </c>
      <c r="D8" s="2"/>
      <c r="E8" s="1"/>
      <c r="F8" s="1"/>
      <c r="G8" s="25"/>
      <c r="I8" s="2"/>
      <c r="J8" s="2"/>
      <c r="K8" s="2"/>
      <c r="L8" s="2"/>
      <c r="M8" s="2"/>
      <c r="N8" s="2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8" x14ac:dyDescent="0.25">
      <c r="A9" s="16" t="s">
        <v>292</v>
      </c>
      <c r="B9" s="18">
        <f>COUNTIF(Data!BI$2:BI$500,9)</f>
        <v>7</v>
      </c>
      <c r="C9" s="20">
        <f>B9/COUNT(Data!$A$2:$A$500)</f>
        <v>0.23333333333333334</v>
      </c>
      <c r="D9" s="2"/>
      <c r="G9" s="25"/>
      <c r="I9" s="2"/>
      <c r="J9" s="2"/>
      <c r="K9" s="2"/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8" x14ac:dyDescent="0.25">
      <c r="A10" s="2"/>
      <c r="B10" s="2"/>
      <c r="C10" s="2"/>
      <c r="D10" s="2"/>
      <c r="I10" s="2"/>
      <c r="J10" s="2"/>
      <c r="K10" s="2"/>
      <c r="L10" s="2"/>
      <c r="M10" s="2"/>
      <c r="N10" s="2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8" x14ac:dyDescent="0.25">
      <c r="A11" s="1"/>
      <c r="B11" s="1"/>
      <c r="C11" s="1"/>
      <c r="D11" s="2"/>
      <c r="I11" s="2"/>
      <c r="J11" s="2"/>
      <c r="K11" s="2"/>
      <c r="L11" s="2"/>
      <c r="M11" s="2"/>
      <c r="N11" s="2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6" x14ac:dyDescent="0.3">
      <c r="A12" s="142" t="s">
        <v>187</v>
      </c>
      <c r="B12" s="143"/>
      <c r="C12" s="143"/>
      <c r="D12" s="143"/>
      <c r="E12" s="143"/>
      <c r="F12" s="143"/>
      <c r="G12" s="65"/>
      <c r="I12" s="2"/>
      <c r="J12" s="2"/>
      <c r="K12" s="2"/>
      <c r="L12" s="2"/>
      <c r="M12" s="2"/>
      <c r="N12" s="2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8" x14ac:dyDescent="0.25">
      <c r="A13" s="12"/>
      <c r="B13" s="36" t="s">
        <v>4</v>
      </c>
      <c r="C13" s="37" t="s">
        <v>5</v>
      </c>
      <c r="D13" s="2"/>
      <c r="E13" s="1"/>
      <c r="F13" s="1"/>
      <c r="G13" s="1"/>
      <c r="I13" s="2"/>
      <c r="J13" s="2"/>
      <c r="K13" s="2"/>
      <c r="L13" s="2"/>
      <c r="M13" s="2"/>
      <c r="N13" s="2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" x14ac:dyDescent="0.25">
      <c r="A14" s="98" t="s">
        <v>188</v>
      </c>
      <c r="B14" s="18">
        <f>COUNTIF(Data!BJ$2:BJ$500,"Кращі, ніж очікував (-ла)")</f>
        <v>7</v>
      </c>
      <c r="C14" s="99">
        <f>B14/COUNT(Data!$A$2:$A$500)</f>
        <v>0.23333333333333334</v>
      </c>
      <c r="D14" s="2"/>
      <c r="E14" s="1"/>
      <c r="F14" s="1"/>
      <c r="G14" s="25"/>
      <c r="I14" s="2"/>
      <c r="J14" s="2"/>
      <c r="K14" s="2"/>
      <c r="L14" s="2"/>
      <c r="M14" s="2"/>
      <c r="N14" s="2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" x14ac:dyDescent="0.25">
      <c r="A15" s="98" t="s">
        <v>189</v>
      </c>
      <c r="B15" s="18">
        <f>COUNTIF(Data!BJ$2:BJ$500,"Гірші, ніж очікував (-ла)")</f>
        <v>1</v>
      </c>
      <c r="C15" s="99">
        <f>B15/COUNT(Data!$A$2:$A$500)</f>
        <v>3.3333333333333333E-2</v>
      </c>
      <c r="D15" s="2"/>
      <c r="E15" s="1"/>
      <c r="F15" s="1"/>
      <c r="G15" s="25"/>
      <c r="I15" s="2"/>
      <c r="J15" s="2"/>
      <c r="K15" s="2"/>
      <c r="L15" s="2"/>
      <c r="M15" s="2"/>
      <c r="N15" s="2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" x14ac:dyDescent="0.25">
      <c r="A16" s="98" t="s">
        <v>190</v>
      </c>
      <c r="B16" s="18">
        <f>COUNTIF(Data!BJ$2:BJ$500,"Відповідають очікуванням")</f>
        <v>22</v>
      </c>
      <c r="C16" s="99">
        <f>B16/COUNT(Data!$A$2:$A$500)</f>
        <v>0.73333333333333328</v>
      </c>
      <c r="D16" s="2"/>
      <c r="G16" s="25"/>
      <c r="I16" s="2"/>
      <c r="J16" s="2"/>
      <c r="K16" s="2"/>
      <c r="L16" s="2"/>
      <c r="M16" s="2"/>
      <c r="N16" s="2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" x14ac:dyDescent="0.25">
      <c r="A17" s="98" t="s">
        <v>292</v>
      </c>
      <c r="B17" s="18">
        <f>COUNTIF(Data!BJ$2:BJ$500,"КН")</f>
        <v>0</v>
      </c>
      <c r="C17" s="99">
        <f>B17/COUNT(Data!$A$2:$A$500)</f>
        <v>0</v>
      </c>
      <c r="D17" s="2"/>
      <c r="G17" s="25"/>
      <c r="I17" s="2"/>
      <c r="J17" s="2"/>
      <c r="K17" s="2"/>
      <c r="L17" s="2"/>
      <c r="M17" s="2"/>
      <c r="N17" s="2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8" x14ac:dyDescent="0.25">
      <c r="A18" s="1"/>
      <c r="B18" s="1"/>
      <c r="C18" s="25"/>
      <c r="D18" s="2"/>
      <c r="G18" s="25"/>
      <c r="H18" s="2"/>
      <c r="I18" s="2"/>
      <c r="J18" s="2"/>
      <c r="K18" s="2"/>
      <c r="L18" s="2"/>
      <c r="M18" s="2"/>
      <c r="N18" s="2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8" x14ac:dyDescent="0.25">
      <c r="A19" s="2"/>
      <c r="B19" s="2"/>
      <c r="C19" s="2"/>
      <c r="D19" s="2"/>
      <c r="E19" s="1"/>
      <c r="F19" s="1"/>
      <c r="G19" s="25"/>
      <c r="H19" s="2"/>
      <c r="I19" s="2"/>
      <c r="J19" s="2"/>
      <c r="K19" s="2"/>
      <c r="L19" s="2"/>
      <c r="M19" s="2"/>
      <c r="N19" s="2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6" x14ac:dyDescent="0.3">
      <c r="A20" s="142" t="s">
        <v>191</v>
      </c>
      <c r="B20" s="143"/>
      <c r="C20" s="143"/>
      <c r="D20" s="143"/>
      <c r="E20" s="143"/>
      <c r="F20" s="65"/>
      <c r="G20" s="1"/>
    </row>
    <row r="21" spans="1:26" ht="13.8" x14ac:dyDescent="0.25">
      <c r="A21" s="12"/>
      <c r="B21" s="36" t="s">
        <v>4</v>
      </c>
      <c r="C21" s="37" t="s">
        <v>5</v>
      </c>
      <c r="D21" s="2"/>
      <c r="E21" s="1"/>
      <c r="F21" s="1"/>
      <c r="G21" s="25"/>
    </row>
    <row r="22" spans="1:26" ht="15" x14ac:dyDescent="0.25">
      <c r="A22" s="98" t="s">
        <v>192</v>
      </c>
      <c r="B22" s="18">
        <f>COUNTIF(Data!BK$2:BK$500,"Покращилась значно")</f>
        <v>14</v>
      </c>
      <c r="C22" s="99">
        <f>B22/COUNT(Data!$A$2:$A$500)</f>
        <v>0.46666666666666667</v>
      </c>
      <c r="D22" s="2"/>
      <c r="E22" s="1"/>
      <c r="F22" s="1"/>
      <c r="G22" s="25"/>
    </row>
    <row r="23" spans="1:26" ht="15" x14ac:dyDescent="0.25">
      <c r="A23" s="98" t="s">
        <v>193</v>
      </c>
      <c r="B23" s="18">
        <f>COUNTIF(Data!BK$2:BK$500,"Покращилась несуттєво")</f>
        <v>4</v>
      </c>
      <c r="C23" s="99">
        <f>B23/COUNT(Data!$A$2:$A$500)</f>
        <v>0.13333333333333333</v>
      </c>
      <c r="D23" s="2"/>
      <c r="E23" s="1"/>
      <c r="F23" s="1"/>
      <c r="G23" s="25"/>
    </row>
    <row r="24" spans="1:26" ht="15" x14ac:dyDescent="0.25">
      <c r="A24" s="98" t="s">
        <v>194</v>
      </c>
      <c r="B24" s="18">
        <f>COUNTIF(Data!BK$2:BK$500,"Залишилась без змін")</f>
        <v>6</v>
      </c>
      <c r="C24" s="99">
        <f>B24/COUNT(Data!$A$2:$A$500)</f>
        <v>0.2</v>
      </c>
      <c r="D24" s="2"/>
      <c r="G24" s="25"/>
    </row>
    <row r="25" spans="1:26" ht="15" x14ac:dyDescent="0.25">
      <c r="A25" s="98" t="s">
        <v>195</v>
      </c>
      <c r="B25" s="18">
        <f>COUNTIF(Data!BK$2:BK$500,"Дещо погіршилася")</f>
        <v>0</v>
      </c>
      <c r="C25" s="99">
        <f>B25/COUNT(Data!$A$2:$A$500)</f>
        <v>0</v>
      </c>
      <c r="D25" s="2"/>
      <c r="G25" s="25"/>
    </row>
    <row r="26" spans="1:26" ht="15" x14ac:dyDescent="0.25">
      <c r="A26" s="98" t="s">
        <v>196</v>
      </c>
      <c r="B26" s="18">
        <f>COUNTIF(Data!BK$2:BK$500,"Значно погіршилася")</f>
        <v>0</v>
      </c>
      <c r="C26" s="99">
        <f>B26/COUNT(Data!$A$2:$A$500)</f>
        <v>0</v>
      </c>
      <c r="D26" s="1"/>
      <c r="E26" s="1"/>
      <c r="F26" s="1"/>
      <c r="G26" s="25"/>
    </row>
    <row r="27" spans="1:26" ht="15" x14ac:dyDescent="0.25">
      <c r="A27" s="98" t="s">
        <v>197</v>
      </c>
      <c r="B27" s="18">
        <f>COUNTIF(Data!BK$2:BK$500,"Важко сказати")</f>
        <v>3</v>
      </c>
      <c r="C27" s="99">
        <f>B27/COUNT(Data!$A$2:$A$500)</f>
        <v>0.1</v>
      </c>
      <c r="G27" s="25"/>
    </row>
    <row r="28" spans="1:26" ht="15" x14ac:dyDescent="0.25">
      <c r="A28" s="98" t="s">
        <v>292</v>
      </c>
      <c r="B28" s="18">
        <f>COUNTIF(Data!BK$2:BK$500,"КН")</f>
        <v>3</v>
      </c>
      <c r="C28" s="99">
        <f>B28/COUNT(Data!$A$2:$A$500)</f>
        <v>0.1</v>
      </c>
      <c r="D28" s="1"/>
      <c r="E28" s="1"/>
      <c r="F28" s="1"/>
      <c r="G28" s="1"/>
    </row>
    <row r="29" spans="1:26" ht="13.2" x14ac:dyDescent="0.25">
      <c r="A29" s="1"/>
      <c r="B29" s="1"/>
      <c r="C29" s="1"/>
      <c r="D29" s="1"/>
      <c r="E29" s="1"/>
      <c r="F29" s="1"/>
      <c r="G29" s="25"/>
    </row>
    <row r="30" spans="1:26" ht="13.2" x14ac:dyDescent="0.25">
      <c r="A30" s="1"/>
      <c r="B30" s="1"/>
      <c r="C30" s="1"/>
      <c r="D30" s="1"/>
      <c r="E30" s="1"/>
      <c r="F30" s="1"/>
      <c r="G30" s="25"/>
    </row>
    <row r="31" spans="1:26" ht="15.6" x14ac:dyDescent="0.3">
      <c r="A31" s="142" t="s">
        <v>198</v>
      </c>
      <c r="B31" s="143"/>
      <c r="C31" s="143"/>
      <c r="D31" s="143"/>
      <c r="E31" s="143"/>
      <c r="F31" s="65"/>
      <c r="G31" s="25"/>
    </row>
    <row r="32" spans="1:26" ht="13.8" x14ac:dyDescent="0.25">
      <c r="A32" s="12"/>
      <c r="B32" s="13" t="s">
        <v>4</v>
      </c>
      <c r="C32" s="15" t="s">
        <v>5</v>
      </c>
      <c r="D32" s="2"/>
      <c r="E32" s="1"/>
      <c r="F32" s="1"/>
      <c r="G32" s="25"/>
    </row>
    <row r="33" spans="1:26" ht="13.8" x14ac:dyDescent="0.25">
      <c r="A33" s="16" t="s">
        <v>18</v>
      </c>
      <c r="B33" s="18">
        <f>COUNTIF(Data!BL$2:BL$500,"Так")</f>
        <v>18</v>
      </c>
      <c r="C33" s="20">
        <f>B33/COUNT(Data!$A$2:$A$500)</f>
        <v>0.6</v>
      </c>
      <c r="D33" s="2"/>
      <c r="E33" s="1"/>
      <c r="F33" s="1"/>
      <c r="G33" s="25"/>
    </row>
    <row r="34" spans="1:26" ht="13.8" x14ac:dyDescent="0.25">
      <c r="A34" s="16" t="s">
        <v>20</v>
      </c>
      <c r="B34" s="18">
        <f>COUNTIF(Data!BL$2:BL$500,"Ні")</f>
        <v>10</v>
      </c>
      <c r="C34" s="20">
        <f>B34/COUNT(Data!$A$2:$A$500)</f>
        <v>0.33333333333333331</v>
      </c>
      <c r="D34" s="2"/>
      <c r="E34" s="1"/>
      <c r="F34" s="1"/>
      <c r="G34" s="1"/>
    </row>
    <row r="35" spans="1:26" ht="13.8" x14ac:dyDescent="0.25">
      <c r="A35" s="16" t="s">
        <v>292</v>
      </c>
      <c r="B35" s="18">
        <f>COUNTIF(Data!BL$2:BL$500,"КН")</f>
        <v>2</v>
      </c>
      <c r="C35" s="20">
        <f>B35/COUNT(Data!$A$2:$A$500)</f>
        <v>6.6666666666666666E-2</v>
      </c>
      <c r="D35" s="2"/>
      <c r="G35" s="25"/>
    </row>
    <row r="36" spans="1:26" ht="13.2" x14ac:dyDescent="0.25">
      <c r="A36" s="1"/>
      <c r="B36" s="1"/>
      <c r="C36" s="25"/>
      <c r="E36" s="1"/>
      <c r="F36" s="1"/>
      <c r="G36" s="25"/>
    </row>
    <row r="37" spans="1:26" ht="13.2" x14ac:dyDescent="0.25">
      <c r="B37" s="1"/>
      <c r="C37" s="25"/>
      <c r="E37" s="1"/>
      <c r="F37" s="1"/>
      <c r="G37" s="25"/>
    </row>
    <row r="38" spans="1:26" ht="13.8" x14ac:dyDescent="0.3">
      <c r="A38" s="142" t="s">
        <v>199</v>
      </c>
      <c r="B38" s="143"/>
      <c r="C38" s="143"/>
      <c r="D38" s="143"/>
      <c r="E38" s="143"/>
      <c r="F38" s="1"/>
      <c r="G38" s="25"/>
    </row>
    <row r="39" spans="1:26" ht="13.8" x14ac:dyDescent="0.25">
      <c r="A39" s="12"/>
      <c r="B39" s="13" t="s">
        <v>4</v>
      </c>
      <c r="C39" s="15" t="s">
        <v>5</v>
      </c>
      <c r="D39" s="2"/>
      <c r="E39" s="1"/>
      <c r="G39" s="25"/>
    </row>
    <row r="40" spans="1:26" ht="13.8" x14ac:dyDescent="0.25">
      <c r="A40" s="16" t="s">
        <v>18</v>
      </c>
      <c r="B40" s="18">
        <f>COUNTIF(Data!$BM$2:$BM$500,"Так")</f>
        <v>1</v>
      </c>
      <c r="C40" s="20">
        <f>B40/COUNT(Data!$A$2:$A$500)</f>
        <v>3.3333333333333333E-2</v>
      </c>
      <c r="D40" s="2"/>
      <c r="E40" s="1"/>
      <c r="G40" s="25"/>
    </row>
    <row r="41" spans="1:26" ht="13.8" x14ac:dyDescent="0.25">
      <c r="A41" s="16" t="s">
        <v>20</v>
      </c>
      <c r="B41" s="18">
        <f>COUNTIF(Data!$BM$2:$BM$500,"Ні")</f>
        <v>22</v>
      </c>
      <c r="C41" s="20">
        <f>B41/COUNT(Data!$A$2:$A$500)</f>
        <v>0.73333333333333328</v>
      </c>
      <c r="D41" s="2"/>
      <c r="E41" s="1"/>
      <c r="F41" s="1"/>
      <c r="G41" s="1"/>
    </row>
    <row r="42" spans="1:26" ht="13.8" x14ac:dyDescent="0.25">
      <c r="A42" s="16" t="s">
        <v>292</v>
      </c>
      <c r="B42" s="18">
        <f>COUNTIF(Data!$BM$2:$BM$500,"КН")</f>
        <v>7</v>
      </c>
      <c r="C42" s="20">
        <f>B42/COUNT(Data!$A$2:$A$500)</f>
        <v>0.23333333333333334</v>
      </c>
      <c r="D42" s="2"/>
      <c r="F42" s="1"/>
      <c r="G42" s="25"/>
    </row>
    <row r="43" spans="1:26" ht="13.2" x14ac:dyDescent="0.25">
      <c r="A43" s="1"/>
      <c r="B43" s="1"/>
      <c r="C43" s="1"/>
      <c r="D43" s="1"/>
      <c r="E43" s="1"/>
      <c r="F43" s="1"/>
      <c r="G43" s="25"/>
    </row>
    <row r="44" spans="1:26" ht="13.2" x14ac:dyDescent="0.25">
      <c r="A44" s="1"/>
      <c r="B44" s="1"/>
      <c r="C44" s="1"/>
      <c r="D44" s="1"/>
      <c r="E44" s="1"/>
      <c r="F44" s="1"/>
      <c r="G44" s="25"/>
    </row>
    <row r="45" spans="1:26" ht="13.8" x14ac:dyDescent="0.25">
      <c r="A45" s="2"/>
      <c r="B45" s="2"/>
      <c r="C45" s="2"/>
      <c r="D45" s="2"/>
      <c r="E45" s="1"/>
      <c r="F45" s="1"/>
      <c r="G45" s="25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4" x14ac:dyDescent="0.3">
      <c r="A46" s="160" t="s">
        <v>309</v>
      </c>
      <c r="B46" s="135"/>
      <c r="C46" s="135"/>
      <c r="D46" s="135"/>
      <c r="E46" s="136"/>
      <c r="F46" s="36" t="s">
        <v>4</v>
      </c>
      <c r="G46" s="37" t="s">
        <v>5</v>
      </c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8" x14ac:dyDescent="0.25">
      <c r="A47" s="163">
        <v>5</v>
      </c>
      <c r="B47" s="135"/>
      <c r="C47" s="135"/>
      <c r="D47" s="135"/>
      <c r="E47" s="136"/>
      <c r="F47" s="18">
        <f>COUNTIF(Data!BN$2:BN$500,5)</f>
        <v>1</v>
      </c>
      <c r="G47" s="20">
        <f>F47/COUNT(Data!$A$2:$A$500)</f>
        <v>3.3333333333333333E-2</v>
      </c>
      <c r="H47" s="1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8" x14ac:dyDescent="0.25">
      <c r="A48" s="163">
        <v>4</v>
      </c>
      <c r="B48" s="135"/>
      <c r="C48" s="135"/>
      <c r="D48" s="135"/>
      <c r="E48" s="136"/>
      <c r="F48" s="18">
        <f>COUNTIF(Data!BN$2:BN$500,4)</f>
        <v>0</v>
      </c>
      <c r="G48" s="20">
        <f>F48/COUNT(Data!$A$2:$A$500)</f>
        <v>0</v>
      </c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8" x14ac:dyDescent="0.25">
      <c r="A49" s="163">
        <v>3</v>
      </c>
      <c r="B49" s="135"/>
      <c r="C49" s="135"/>
      <c r="D49" s="135"/>
      <c r="E49" s="136"/>
      <c r="F49" s="18">
        <f>COUNTIF(Data!BN$2:BN$500,3)</f>
        <v>0</v>
      </c>
      <c r="G49" s="20">
        <f>F49/COUNT(Data!$A$2:$A$500)</f>
        <v>0</v>
      </c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8" x14ac:dyDescent="0.25">
      <c r="A50" s="163">
        <v>2</v>
      </c>
      <c r="B50" s="135"/>
      <c r="C50" s="135"/>
      <c r="D50" s="135"/>
      <c r="E50" s="136"/>
      <c r="F50" s="18">
        <f>COUNTIF(Data!BN$2:BN$500,2)</f>
        <v>0</v>
      </c>
      <c r="G50" s="20">
        <f>F50/COUNT(Data!$A$2:$A$500)</f>
        <v>0</v>
      </c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8" x14ac:dyDescent="0.25">
      <c r="A51" s="163">
        <v>1</v>
      </c>
      <c r="B51" s="135"/>
      <c r="C51" s="135"/>
      <c r="D51" s="135"/>
      <c r="E51" s="136"/>
      <c r="F51" s="18">
        <f>COUNTIF(Data!BN$2:BN$500,1)</f>
        <v>0</v>
      </c>
      <c r="G51" s="20">
        <f>F51/COUNT(Data!$A$2:$A$500)</f>
        <v>0</v>
      </c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8" x14ac:dyDescent="0.25">
      <c r="A52" s="163">
        <v>9</v>
      </c>
      <c r="B52" s="135"/>
      <c r="C52" s="135"/>
      <c r="D52" s="135"/>
      <c r="E52" s="136"/>
      <c r="F52" s="18">
        <f>COUNTIF(Data!BN$2:BN$500,9)</f>
        <v>28</v>
      </c>
      <c r="G52" s="20">
        <f>F52/COUNT(Data!$A$2:$A$500)</f>
        <v>0.93333333333333335</v>
      </c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7.399999999999999" x14ac:dyDescent="0.3">
      <c r="A53" s="166" t="s">
        <v>71</v>
      </c>
      <c r="B53" s="135"/>
      <c r="C53" s="135"/>
      <c r="D53" s="135"/>
      <c r="E53" s="136"/>
      <c r="F53" s="57">
        <f>((F47*5)+(F48*4)+(F49*3)+(F50*2)+(F51*1))/SUM(F47:F51)</f>
        <v>5</v>
      </c>
      <c r="G53" s="37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4" x14ac:dyDescent="0.3">
      <c r="A54" s="167" t="s">
        <v>73</v>
      </c>
      <c r="B54" s="135"/>
      <c r="C54" s="135"/>
      <c r="D54" s="135"/>
      <c r="E54" s="136"/>
      <c r="F54" s="58">
        <f>((COUNTIFS(Data!B$2:B$500,"18–25 років",Data!BN$2:BN$500,5)*5)+(COUNTIFS(Data!B$2:B$500,"18–25 років",Data!BN$2:BN$500,4)*4)+(COUNTIFS(Data!B$2:B$500,"18–25 років",Data!BN$2:BN$500,3)*3)+(COUNTIFS(Data!B$2:B$500,"18–25 років",Data!BN$2:BN$500,2)*2)+(COUNTIFS(Data!B$2:B$500,"18–25 років",Data!BN$2:BN$500,1)*1))/(COUNTIFS(Data!B$2:B$500,"18–25 років",Data!BN$2:BN$500,5)+(COUNTIFS(Data!B$2:B$500,"18–25 років",Data!BN$2:BN$500,4)+(COUNTIFS(Data!B$2:B$500,"18–25 років",Data!BN$2:BN$500,3)+(COUNTIFS(Data!B$2:B$500,"18–25 років",Data!BN$2:BN$500,2)+(COUNTIFS(Data!B$2:B$500,"18–25 років",Data!BN$2:BN$500,1))))))</f>
        <v>5</v>
      </c>
      <c r="G54" s="28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4" x14ac:dyDescent="0.3">
      <c r="A55" s="167" t="s">
        <v>75</v>
      </c>
      <c r="B55" s="135"/>
      <c r="C55" s="135"/>
      <c r="D55" s="135"/>
      <c r="E55" s="136"/>
      <c r="F55" s="58" t="e">
        <f>((COUNTIFS(Data!B$2:B$500,"26–39 років",Data!BN$2:BN$500,5)*5)+(COUNTIFS(Data!B$2:B$500,"26–39 років",Data!BN$2:BN$500,4)*4)+(COUNTIFS(Data!B$2:B$500,"26–39 років",Data!BN$2:BN$500,3)*3)+(COUNTIFS(Data!B$2:B$500,"26–39 років",Data!BN$2:BN$500,2)*2)+(COUNTIFS(Data!B$2:B$500,"26–39 років",Data!BN$2:BN$500,1)*1))/(COUNTIFS(Data!B$2:B$500,"26–39 років",Data!BN$2:BN$500,5)+(COUNTIFS(Data!B$2:B$500,"26–39 років",Data!BN$2:BN$500,4)+(COUNTIFS(Data!B$2:B$500,"26–39 років",Data!BN$2:BN$500,3)+(COUNTIFS(Data!B$2:B$500,"26–39 років",Data!BN$2:BN$500,2)+(COUNTIFS(Data!B$2:B$500,"26–39 років",Data!BN$2:BN$500,1))))))</f>
        <v>#DIV/0!</v>
      </c>
      <c r="G55" s="28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4" x14ac:dyDescent="0.3">
      <c r="A56" s="167" t="s">
        <v>77</v>
      </c>
      <c r="B56" s="135"/>
      <c r="C56" s="135"/>
      <c r="D56" s="135"/>
      <c r="E56" s="136"/>
      <c r="F56" s="58" t="e">
        <f>((COUNTIFS(Data!B$2:B$500,"40–59 років",Data!BN$2:BN$500,5)*5)+(COUNTIFS(Data!B$2:B$500,"40–59 років",Data!BN$2:BN$500,4)*4)+(COUNTIFS(Data!B$2:B$500,"40–59 років",Data!BN$2:BN$500,3)*3)+(COUNTIFS(Data!B$2:B$500,"40–59 років",Data!BN$2:BN$500,2)*2)+(COUNTIFS(Data!B$2:B$500,"40–59 років",Data!BN$2:BN$500,1)*1))/(COUNTIFS(Data!B$2:B$500,"40–59 років",Data!BN$2:BN$500,5)+(COUNTIFS(Data!B$2:B$500,"40–59 років",Data!BN$2:BN$500,4)+(COUNTIFS(Data!B$2:B$500,"40–59 років",Data!BN$2:BN$500,3)+(COUNTIFS(Data!B$2:B$500,"40–59 років",Data!BN$2:BN$500,2)+(COUNTIFS(Data!B$2:B$500,"40–59 років",Data!BN$2:BN$500,1))))))</f>
        <v>#DIV/0!</v>
      </c>
      <c r="G56" s="28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4" x14ac:dyDescent="0.3">
      <c r="A57" s="167" t="s">
        <v>79</v>
      </c>
      <c r="B57" s="135"/>
      <c r="C57" s="135"/>
      <c r="D57" s="135"/>
      <c r="E57" s="136"/>
      <c r="F57" s="58" t="e">
        <f>((COUNTIFS(Data!B$2:B$500,"60 років і старше",Data!BN$2:BN$500,5)*5)+(COUNTIFS(Data!B$2:B$500,"60 років і старше",Data!BN$2:BN$500,4)*4)+(COUNTIFS(Data!B$2:B$500,"60 років і старше",Data!BN$2:BN$500,3)*3)+(COUNTIFS(Data!B$2:B$500,"60 років і старше",Data!BN$2:BN$500,2)*2)+(COUNTIFS(Data!B$2:B$500,"60 років і старше",Data!BN$2:BN$500,1)*1))/(COUNTIFS(Data!B$2:B$500,"60 років і старше",Data!BN$2:BN$500,5)+(COUNTIFS(Data!B$2:B$500,"60 років і старше",Data!BN$2:BN$500,4)+(COUNTIFS(Data!B$2:B$500,"60 років і старше",Data!BN$2:BN$500,3)+(COUNTIFS(Data!B$2:B$500,"60 років і старше",Data!BN$2:BN$500,2)+(COUNTIFS(Data!B$2:B$500,"60 років і старше",Data!BN$2:BN$500,1))))))</f>
        <v>#DIV/0!</v>
      </c>
      <c r="G57" s="28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4" x14ac:dyDescent="0.3">
      <c r="A58" s="165" t="s">
        <v>81</v>
      </c>
      <c r="B58" s="135"/>
      <c r="C58" s="135"/>
      <c r="D58" s="135"/>
      <c r="E58" s="136"/>
      <c r="F58" s="59" t="e">
        <f>((COUNTIFS(Data!C$2:C$500,"жіноча",Data!BN$2:BN$500,5)*5)+(COUNTIFS(Data!C$2:C$500,"жіноча",Data!BN$2:BN$500,4)*4)+(COUNTIFS(Data!C$2:C$500,"жіноча",Data!BN$2:BN$500,3)*3)+(COUNTIFS(Data!C$2:C$500,"жіноча",Data!BN$2:BN$500,2)*2)+(COUNTIFS(Data!C$2:C$500,"жіноча",Data!BN$2:BN$500,1)*1))/(COUNTIFS(Data!C$2:C$500,"жіноча",Data!BN$2:BN$500,5)+(COUNTIFS(Data!C$2:C$500,"жіноча",Data!BN$2:BN$500,4)+(COUNTIFS(Data!C$2:C$500,"жіноча",Data!BN$2:BN$500,3)+(COUNTIFS(Data!C$2:C$500,"жіноча",Data!BN$2:BN$500,2)+(COUNTIFS(Data!C$2:C$500,"жіноча",Data!BN$2:BN$500,1))))))</f>
        <v>#DIV/0!</v>
      </c>
      <c r="G58" s="28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4" x14ac:dyDescent="0.3">
      <c r="A59" s="165" t="s">
        <v>84</v>
      </c>
      <c r="B59" s="135"/>
      <c r="C59" s="135"/>
      <c r="D59" s="135"/>
      <c r="E59" s="136"/>
      <c r="F59" s="59">
        <f>((COUNTIFS(Data!C$2:C$500,"чоловіча",Data!BN$2:BN$500,5)*5)+(COUNTIFS(Data!C$2:C$500,"чоловіча",Data!BN$2:BN$500,4)*4)+(COUNTIFS(Data!C$2:C$500,"чоловіча",Data!BN$2:BN$500,3)*3)+(COUNTIFS(Data!C$2:C$500,"чоловіча",Data!BN$2:BN$500,2)*2)+(COUNTIFS(Data!C$2:C$500,"чоловіча",Data!BN$2:BN$500,1)*1))/(COUNTIFS(Data!C$2:C$500,"чоловіча",Data!BN$2:BN$500,5)+(COUNTIFS(Data!C$2:C$500,"чоловіча",Data!BN$2:BN$500,4)+(COUNTIFS(Data!C$2:C$500,"чоловіча",Data!BN$2:BN$500,3)+(COUNTIFS(Data!C$2:C$500,"чоловіча",Data!BN$2:BN$500,2)+(COUNTIFS(Data!C$2:C$500,"чоловіча",Data!BN$2:BN$500,1))))))</f>
        <v>5</v>
      </c>
      <c r="G59" s="28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4" x14ac:dyDescent="0.3">
      <c r="A60" s="170" t="s">
        <v>86</v>
      </c>
      <c r="B60" s="135"/>
      <c r="C60" s="135"/>
      <c r="D60" s="135"/>
      <c r="E60" s="136"/>
      <c r="F60" s="60" t="e">
        <f>((COUNTIFS(Data!D$2:D$500,"Середня та неповна середня",Data!BN$2:BN$500,5)*5)+(COUNTIFS(Data!D$2:D$500,"Середня та неповна середня",Data!BN$2:BN$500,4)*4)+(COUNTIFS(Data!D$2:D$500,"Середня та неповна середня",Data!BN$2:BN$500,3)*3)+(COUNTIFS(Data!D$2:D$500,"Середня та неповна середня",Data!BN$2:BN$500,2)*2)+(COUNTIFS(Data!D$2:D$500,"Середня та неповна середня",Data!BN$2:BN$500,1)*1))/(COUNTIFS(Data!D$2:D$500,"Середня та неповна середня",Data!BN$2:BN$500,5)+(COUNTIFS(Data!D$2:D$500,"Середня та неповна середня",Data!BN$2:BN$500,4)+(COUNTIFS(Data!D$2:D$500,"Середня та неповна середня",Data!BN$2:BN$500,3)+(COUNTIFS(Data!D$2:D$500,"Середня та неповна середня",Data!BN$2:BN$500,2)+(COUNTIFS(Data!D$2:D$500,"Середня та неповна середня",Data!BN$2:BN$500,1))))))</f>
        <v>#DIV/0!</v>
      </c>
      <c r="G60" s="28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4" x14ac:dyDescent="0.3">
      <c r="A61" s="170" t="s">
        <v>88</v>
      </c>
      <c r="B61" s="135"/>
      <c r="C61" s="135"/>
      <c r="D61" s="135"/>
      <c r="E61" s="136"/>
      <c r="F61" s="60">
        <f>((COUNTIFS(Data!D$2:D$500,"Вища та неповна вища",Data!BN$2:BN$500,5)*5)+(COUNTIFS(Data!D$2:D$500,"Вища та неповна вища",Data!BN$2:BN$500,4)*4)+(COUNTIFS(Data!D$2:D$500,"Вища та неповна вища",Data!BN$2:BN$500,3)*3)+(COUNTIFS(Data!D$2:D$500,"Вища та неповна вища",Data!BN$2:BN$500,2)*2)+(COUNTIFS(Data!D$2:D$500,"Вища та неповна вища",Data!BN$2:BN$500,1)*1))/(COUNTIFS(Data!D$2:D$500,"Вища та неповна вища",Data!BN$2:BN$500,5)+(COUNTIFS(Data!D$2:D$500,"Вища та неповна вища",Data!BN$2:BN$500,4)+(COUNTIFS(Data!D$2:D$500,"Вища та неповна вища",Data!BN$2:BN$500,3)+(COUNTIFS(Data!D$2:D$500,"Вища та неповна вища",Data!BN$2:BN$500,2)+(COUNTIFS(Data!D$2:D$500,"Вища та неповна вища",Data!BN$2:BN$500,1))))))</f>
        <v>5</v>
      </c>
      <c r="G61" s="28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4" x14ac:dyDescent="0.3">
      <c r="A62" s="170" t="s">
        <v>90</v>
      </c>
      <c r="B62" s="135"/>
      <c r="C62" s="135"/>
      <c r="D62" s="135"/>
      <c r="E62" s="136"/>
      <c r="F62" s="60" t="e">
        <f>((COUNTIFS(Data!D$2:D$500,"Інше (вкажіть)",Data!BN$2:BN$500,5)*5)+(COUNTIFS(Data!D$2:D$500,"Інше (вкажіть)",Data!BN$2:BN$500,4)*4)+(COUNTIFS(Data!D$2:D$500,"Інше (вкажіть)",Data!BN$2:BN$500,3)*3)+(COUNTIFS(Data!D$2:D$500,"Інше (вкажіть)",Data!BN$2:BN$500,2)*2)+(COUNTIFS(Data!D$2:D$500,"Інше (вкажіть)",Data!BN$2:BN$500,1)*1))/(COUNTIFS(Data!D$2:D$500,"Інше (вкажіть)",Data!BN$2:BN$500,5)+(COUNTIFS(Data!D$2:D$500,"Інше (вкажіть)",Data!BN$2:BN$500,4)+(COUNTIFS(Data!D$2:D$500,"Інше (вкажіть)",Data!BN$2:BN$500,3)+(COUNTIFS(Data!D$2:D$500,"Інше (вкажіть)",Data!BN$2:BN$500,2)+(COUNTIFS(Data!D$2:D$500,"Інше (вкажіть)",Data!BN$2:BN$500,1))))))</f>
        <v>#DIV/0!</v>
      </c>
      <c r="G62" s="28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4" x14ac:dyDescent="0.3">
      <c r="A63" s="170" t="s">
        <v>90</v>
      </c>
      <c r="B63" s="135"/>
      <c r="C63" s="135"/>
      <c r="D63" s="135"/>
      <c r="E63" s="136"/>
      <c r="F63" s="60" t="e">
        <f>((COUNTIFS(Data!D$2:D$500,"Інше (вкажіть)",Data!BN$2:BN$500,5)*5)+(COUNTIFS(Data!D$2:D$500,"Інше (вкажіть)",Data!BN$2:BN$500,4)*4)+(COUNTIFS(Data!D$2:D$500,"Інше (вкажіть)",Data!BN$2:BN$500,3)*3)+(COUNTIFS(Data!D$2:D$500,"Інше (вкажіть)",Data!BN$2:BN$500,2)*2)+(COUNTIFS(Data!D$2:D$500,"Інше (вкажіть)",Data!BN$2:BN$500,1)*1))/(COUNTIFS(Data!D$2:D$500,"Інше (вкажіть)",Data!BN$2:BN$500,5)+(COUNTIFS(Data!D$2:D$500,"Інше (вкажіть)",Data!BN$2:BN$500,4)+(COUNTIFS(Data!D$2:D$500,"Інше (вкажіть)",Data!BN$2:BN$500,3)+(COUNTIFS(Data!D$2:D$500,"Інше (вкажіть)",Data!BN$2:BN$500,2)+(COUNTIFS(Data!D$2:D$500,"Інше (вкажіть)",Data!BN$2:BN$500,1))))))</f>
        <v>#DIV/0!</v>
      </c>
      <c r="G63" s="28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4" x14ac:dyDescent="0.3">
      <c r="A64" s="171" t="s">
        <v>92</v>
      </c>
      <c r="B64" s="135"/>
      <c r="C64" s="135"/>
      <c r="D64" s="135"/>
      <c r="E64" s="136"/>
      <c r="F64" s="61">
        <f>((COUNTIFS(Data!E$2:E$500,"Так",Data!BN$2:BN$500,5)*5)+(COUNTIFS(Data!E$2:E$500,"Так",Data!BN$2:BN$500,4)*4)+(COUNTIFS(Data!E$2:E$500,"Так",Data!BN$2:BN$500,3)*3)+(COUNTIFS(Data!E$2:E$500,"Так",Data!BN$2:BN$500,2)*2)+(COUNTIFS(Data!E$2:E$500,"Так",Data!BN$2:BN$500,1)*1))/(COUNTIFS(Data!E$2:E$500,"Так",Data!BN$2:BN$500,5)+(COUNTIFS(Data!E$2:E$500,"Так",Data!BN$2:BN$500,4)+(COUNTIFS(Data!E$2:E$500,"Так",Data!BN$2:BN$500,3)+(COUNTIFS(Data!E$2:E$500,"Так",Data!BN$2:BN$500,2)+(COUNTIFS(Data!E$2:E$500,"Так",Data!BN$2:BN$500,1))))))</f>
        <v>5</v>
      </c>
      <c r="G64" s="28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4" x14ac:dyDescent="0.3">
      <c r="A65" s="171" t="s">
        <v>95</v>
      </c>
      <c r="B65" s="135"/>
      <c r="C65" s="135"/>
      <c r="D65" s="135"/>
      <c r="E65" s="136"/>
      <c r="F65" s="61" t="e">
        <f>((COUNTIFS(Data!E$2:E$500,"Ні",Data!BN$2:BN$500,5)*5)+(COUNTIFS(Data!E$2:E$500,"Ні",Data!BN$2:BN$500,4)*4)+(COUNTIFS(Data!E$2:E$500,"Ні",Data!BN$2:BN$500,3)*3)+(COUNTIFS(Data!E$2:E$500,"Ні",Data!BN$2:BN$500,2)*2)+(COUNTIFS(Data!E$2:E$500,"Ні",Data!BN$2:BN$500,1)*1))/(COUNTIFS(Data!E$2:E$500,"Ні",Data!BN$2:BN$500,5)+(COUNTIFS(Data!E$2:E$500,"Ні",Data!BN$2:BN$500,4)+(COUNTIFS(Data!E$2:E$500,"Ні",Data!BN$2:BN$500,3)+(COUNTIFS(Data!E$2:E$500,"Ні",Data!BN$2:BN$500,2)+(COUNTIFS(Data!E$2:E$500,"Ні",Data!BN$2:BN$500,1))))))</f>
        <v>#DIV/0!</v>
      </c>
      <c r="G65" s="28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4" x14ac:dyDescent="0.3">
      <c r="A66" s="169" t="s">
        <v>97</v>
      </c>
      <c r="B66" s="135"/>
      <c r="C66" s="135"/>
      <c r="D66" s="135"/>
      <c r="E66" s="136"/>
      <c r="F66" s="62" t="e">
        <f>((COUNTIFS(Data!F$2:F$500,"В населеному пункті, де розташований цей суд",Data!BN$2:BN$500,5)*5)+(COUNTIFS(Data!F$2:F$500,"В населеному пункті, де розташований цей суд",Data!BN$2:BN$500,4)*4)+(COUNTIFS(Data!F$2:F$500,"В населеному пункті, де розташований цей суд",Data!BN$2:BN$500,3)*3)+(COUNTIFS(Data!F$2:F$500,"В населеному пункті, де розташований цей суд",Data!BN$2:BN$500,2)*2)+(COUNTIFS(Data!F$2:F$500,"В населеному пункті, де розташований цей суд",Data!BN$2:BN$500,1)*1))/(COUNTIFS(Data!F$2:F$500,"В населеному пункті, де розташований цей суд",Data!BN$2:BN$500,5)+(COUNTIFS(Data!F$2:F$500,"В населеному пункті, де розташований цей суд",Data!BN$2:BN$500,4)+(COUNTIFS(Data!F$2:F$500,"В населеному пункті, де розташований цей суд",Data!BN$2:BN$500,3)+(COUNTIFS(Data!F$2:F$500,"В населеному пункті, де розташований цей суд",Data!BN$2:BN$500,2)+(COUNTIFS(Data!F$2:F$500,"В населеному пункті, де розташований цей суд",Data!BN$2:BN$500,1))))))</f>
        <v>#DIV/0!</v>
      </c>
      <c r="G66" s="28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4" x14ac:dyDescent="0.3">
      <c r="A67" s="169" t="s">
        <v>99</v>
      </c>
      <c r="B67" s="135"/>
      <c r="C67" s="135"/>
      <c r="D67" s="135"/>
      <c r="E67" s="136"/>
      <c r="F67" s="62">
        <f>((COUNTIFS(Data!F$2:F$500,"В іншому населеному пункті",Data!BN$2:BN$500,5)*5)+(COUNTIFS(Data!F$2:F$500,"В іншому населеному пункті",Data!BN$2:BN$500,4)*4)+(COUNTIFS(Data!F$2:F$500,"В іншому населеному пункті",Data!BN$2:BN$500,3)*3)+(COUNTIFS(Data!F$2:F$500,"В іншому населеному пункті",Data!BN$2:BN$500,2)*2)+(COUNTIFS(Data!F$2:F$500,"В іншому населеному пункті",Data!BN$2:BN$500,1)*1))/(COUNTIFS(Data!F$2:F$500,"В іншому населеному пункті",Data!BN$2:BN$500,5)+(COUNTIFS(Data!F$2:F$500,"В іншому населеному пункті",Data!BN$2:BN$500,4)+(COUNTIFS(Data!F$2:F$500,"В іншому населеному пункті",Data!BN$2:BN$500,3)+(COUNTIFS(Data!F$2:F$500,"В іншому населеному пункті",Data!BN$2:BN$500,2)+(COUNTIFS(Data!F$2:F$500,"В іншому населеному пункті",Data!BN$2:BN$500,1))))))</f>
        <v>5</v>
      </c>
      <c r="G67" s="28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4" x14ac:dyDescent="0.3">
      <c r="A68" s="162" t="s">
        <v>101</v>
      </c>
      <c r="B68" s="135"/>
      <c r="C68" s="135"/>
      <c r="D68" s="135"/>
      <c r="E68" s="136"/>
      <c r="F68" s="63">
        <f>((COUNTIFS(Data!G$2:G$500,"Змушені економити на харчуванні",Data!BN$2:BN$500,5)*5)+(COUNTIFS(Data!G$2:G$500,"Змушені економити на харчуванні",Data!BN$2:BN$500,4)*4)+(COUNTIFS(Data!G$2:G$500,"Змушені економити на харчуванні",Data!BN$2:BN$500,3)*3)+(COUNTIFS(Data!G$2:G$500,"Змушені економити на харчуванні",Data!BN$2:BN$500,2)*2)+(COUNTIFS(Data!G$2:G$500,"Змушені економити на харчуванні",Data!BN$2:BN$500,1)*1))/(COUNTIFS(Data!G$2:G$500,"Змушені економити на харчуванні",Data!BN$2:BN$500,5)+(COUNTIFS(Data!G$2:G$500,"Змушені економити на харчуванні",Data!BN$2:BN$500,4)+(COUNTIFS(Data!G$2:G$500,"Змушені економити на харчуванні",Data!BN$2:BN$500,3)+(COUNTIFS(Data!G$2:G$500,"Змушені економити на харчуванні",Data!BN$2:BN$500,2)+(COUNTIFS(Data!G$2:G$500,"Змушені економити на харчуванні",Data!BN$2:BN$500,1))))))</f>
        <v>5</v>
      </c>
      <c r="G68" s="28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4" x14ac:dyDescent="0.3">
      <c r="A69" s="162" t="s">
        <v>103</v>
      </c>
      <c r="B69" s="135"/>
      <c r="C69" s="135"/>
      <c r="D69" s="135"/>
      <c r="E69" s="136"/>
      <c r="F69" s="63" t="e">
        <f>((COUNTIFS(Data!G$2:G$500,"Вистачає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позичити",Data!BN$2:BN$500,5)*5)+(COUNTIFS(Data!G$2:G$500,"Вистачає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позичити",Data!BN$2:BN$500,4)*4)+(COUNTIFS(Data!G$2:G$500,"Вистачає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позичити",Data!BN$2:BN$500,3)*3)+(COUNTIFS(Data!G$2:G$500,"Вистачає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позичити",Data!BN$2:BN$500,2)*2)+(COUNTIFS(Data!G$2:G$500,"Вистачає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позичити",Data!BN$2:BN$500,1)*1))/(COUNTIFS(Data!G$2:G$500,"Вистачає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позичити",Data!BN$2:BN$500,5)+(COUNTIFS(Data!G$2:G$500,"Вистачає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позичити",Data!BN$2:BN$500,4)+(COUNTIFS(Data!G$2:G$500,"Вистачає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позичити",Data!BN$2:BN$500,3)+(COUNTIFS(Data!G$2:G$500,"Вистачає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позичити",Data!BN$2:BN$500,2)+(COUNTIFS(Data!G$2:G$500,"Вистачає на харчування та необхідний одяг, взуття. Для таких покупок як гарний  костюм, мобільний телефон, пилосос необхідно заощадити або позичити",Data!BN$2:BN$500,1))))))</f>
        <v>#DIV/0!</v>
      </c>
      <c r="G69" s="28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4" x14ac:dyDescent="0.3">
      <c r="A70" s="162" t="s">
        <v>106</v>
      </c>
      <c r="B70" s="135"/>
      <c r="C70" s="135"/>
      <c r="D70" s="135"/>
      <c r="E70" s="136"/>
      <c r="F70" s="63" t="e">
        <f>((COUNTIFS(Data!G$2:G$500,"Вистачає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позичити",Data!BN$2:BN$500,5)*5)+(COUNTIFS(Data!G$2:G$500,"Вистачає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позичити",Data!BN$2:BN$500,4)*4)+(COUNTIFS(Data!G$2:G$500,"Вистачає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позичити",Data!BN$2:BN$500,3)*3)+(COUNTIFS(Data!G$2:G$500,"Вистачає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позичити",Data!BN$2:BN$500,2)*2)+(COUNTIFS(Data!G$2:G$500,"Вистачає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позичити",Data!BN$2:BN$500,1)*1))/(COUNTIFS(Data!G$2:G$500,"Вистачає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позичити",Data!BN$2:BN$500,5)+(COUNTIFS(Data!G$2:G$500,"Вистачає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позичити",Data!BN$2:BN$500,4)+(COUNTIFS(Data!G$2:G$500,"Вистачає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позичити",Data!BN$2:BN$500,3)+(COUNTIFS(Data!G$2:G$500,"Вистачає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позичити",Data!BN$2:BN$500,2)+(COUNTIFS(Data!G$2:G$500,"Вистачає на харчування, одяг, взуття, інші покупки. Але для придбання речей, які дорого коштують (таких як сучасний телевізор, холодильник, меблі) необхідно заощадити або позичити",Data!BN$2:BN$500,1))))))</f>
        <v>#DIV/0!</v>
      </c>
      <c r="G70" s="28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4" x14ac:dyDescent="0.3">
      <c r="A71" s="162" t="s">
        <v>108</v>
      </c>
      <c r="B71" s="135"/>
      <c r="C71" s="135"/>
      <c r="D71" s="135"/>
      <c r="E71" s="136"/>
      <c r="F71" s="63" t="e">
        <f>((COUNTIFS(Data!G$2:G$500,"Вистачає на харчування, одяг, взуття, дорогі покупки. Для таких покупок як машина, квартира необхідно заощадити або позичити",Data!BN$2:BN$500,5)*5)+(COUNTIFS(Data!G$2:G$500,"Вистачає на харчування, одяг, взуття, дорогі покупки. Для таких покупок як машина, квартира необхідно заощадити або позичити",Data!BN$2:BN$500,4)*4)+(COUNTIFS(Data!G$2:G$500,"Вистачає на харчування, одяг, взуття, дорогі покупки. Для таких покупок як машина, квартира необхідно заощадити або позичити",Data!BN$2:BN$500,3)*3)+(COUNTIFS(Data!G$2:G$500,"Вистачає на харчування, одяг, взуття, дорогі покупки. Для таких покупок як машина, квартира необхідно заощадити або позичити",Data!BN$2:BN$500,2)*2)+(COUNTIFS(Data!G$2:G$500,"Вистачає на харчування, одяг, взуття, дорогі покупки. Для таких покупок як машина, квартира необхідно заощадити або позичити",Data!BN$2:BN$500,1)*1))/(COUNTIFS(Data!G$2:G$500,"Вистачає на харчування, одяг, взуття, дорогі покупки. Для таких покупок як машина, квартира необхідно заощадити або позичити",Data!BN$2:BN$500,5)+(COUNTIFS(Data!G$2:G$500,"Вистачає на харчування, одяг, взуття, дорогі покупки. Для таких покупок як машина, квартира необхідно заощадити або позичити",Data!BN$2:BN$500,4)+(COUNTIFS(Data!G$2:G$500,"Вистачає на харчування, одяг, взуття, дорогі покупки. Для таких покупок як машина, квартира необхідно заощадити або позичити",Data!BN$2:BN$500,3)+(COUNTIFS(Data!G$2:G$500,"Вистачає на харчування, одяг, взуття, дорогі покупки. Для таких покупок як машина, квартира необхідно заощадити або позичити",Data!BN$2:BN$500,2)+(COUNTIFS(Data!G$2:G$500,"Вистачає на харчування, одяг, взуття, дорогі покупки. Для таких покупок як машина, квартира необхідно заощадити або позичити",Data!BN$2:BN$500,1))))))</f>
        <v>#DIV/0!</v>
      </c>
      <c r="G71" s="28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4" x14ac:dyDescent="0.3">
      <c r="A72" s="162" t="s">
        <v>110</v>
      </c>
      <c r="B72" s="135"/>
      <c r="C72" s="135"/>
      <c r="D72" s="135"/>
      <c r="E72" s="136"/>
      <c r="F72" s="63" t="e">
        <f>((COUNTIFS(Data!G$2:G$500,"Будь-які необхідні покупки можу зробити в будь-який час",Data!BN$2:BN$500,5)*5)+(COUNTIFS(Data!G$2:G$500,"Будь-які необхідні покупки можу зробити в будь-який час",Data!BN$2:BN$500,4)*4)+(COUNTIFS(Data!G$2:G$500,"Будь-які необхідні покупки можу зробити в будь-який час",Data!BN$2:BN$500,3)*3)+(COUNTIFS(Data!G$2:G$500,"Будь-які необхідні покупки можу зробити в будь-який час",Data!BN$2:BN$500,2)*2)+(COUNTIFS(Data!G$2:G$500,"Будь-які необхідні покупки можу зробити в будь-який час",Data!BN$2:BN$500,1)*1))/(COUNTIFS(Data!G$2:G$500,"Будь-які необхідні покупки можу зробити в будь-який час",Data!BN$2:BN$500,5)+(COUNTIFS(Data!G$2:G$500,"Будь-які необхідні покупки можу зробити в будь-який час",Data!BN$2:BN$500,4)+(COUNTIFS(Data!G$2:G$500,"Будь-які необхідні покупки можу зробити в будь-який час",Data!BN$2:BN$500,3)+(COUNTIFS(Data!G$2:G$500,"Будь-які необхідні покупки можу зробити в будь-який час",Data!BN$2:BN$500,2)+(COUNTIFS(Data!G$2:G$500,"Будь-які необхідні покупки можу зробити в будь-який час",Data!BN$2:BN$500,1))))))</f>
        <v>#DIV/0!</v>
      </c>
      <c r="G72" s="28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4" x14ac:dyDescent="0.3">
      <c r="A73" s="162" t="s">
        <v>111</v>
      </c>
      <c r="B73" s="135"/>
      <c r="C73" s="135"/>
      <c r="D73" s="135"/>
      <c r="E73" s="136"/>
      <c r="F73" s="63" t="e">
        <f>((COUNTIFS(Data!G$2:G$500,"КН (код невідповіді)",Data!BN$2:BN$500,5)*5)+(COUNTIFS(Data!G$2:G$500,"КН (код невідповіді)",Data!BN$2:BN$500,4)*4)+(COUNTIFS(Data!G$2:G$500,"КН (код невідповіді)",Data!BN$2:BN$500,3)*3)+(COUNTIFS(Data!G$2:G$500,"КН (код невідповіді)",Data!BN$2:BN$500,2)*2)+(COUNTIFS(Data!G$2:G$500,"КН (код невідповіді)",Data!BN$2:BN$500,1)*1))/(COUNTIFS(Data!G$2:G$500,"КН (код невідповіді)",Data!BN$2:BN$500,5)+(COUNTIFS(Data!G$2:G$500,"КН (код невідповіді)",Data!BN$2:BN$500,4)+(COUNTIFS(Data!G$2:G$500,"КН (код невідповіді)",Data!BN$2:BN$500,3)+(COUNTIFS(Data!G$2:G$500,"КН (код невідповіді)",Data!BN$2:BN$500,2)+(COUNTIFS(Data!G$2:G$500,"КН (код невідповіді)",Data!BN$2:BN$500,1))))))</f>
        <v>#DIV/0!</v>
      </c>
      <c r="G73" s="28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4" x14ac:dyDescent="0.3">
      <c r="A74" s="168" t="s">
        <v>113</v>
      </c>
      <c r="B74" s="135"/>
      <c r="C74" s="135"/>
      <c r="D74" s="135"/>
      <c r="E74" s="136"/>
      <c r="F74" s="72">
        <f>((COUNTIFS(Data!H$2:H$500,"Є учасником судових проваджень і представляєте особисто себе",Data!BN$2:BN$500,5)*5)+(COUNTIFS(Data!H$2:H$500,"Є учасником судових проваджень і представляєте особисто себе",Data!BN$2:BN$500,4)*4)+(COUNTIFS(Data!H$2:H$500,"Є учасником судових проваджень і представляєте особисто себе",Data!BN$2:BN$500,3)*3)+(COUNTIFS(Data!H$2:H$500,"Є учасником судових проваджень і представляєте особисто себе",Data!BN$2:BN$500,2)*2)+(COUNTIFS(Data!H$2:H$500,"Є учасником судових проваджень і представляєте особисто себе",Data!BN$2:BN$500,1)*1))/(COUNTIFS(Data!H$2:H$500,"Є учасником судових проваджень і представляєте особисто себе",Data!BN$2:BN$500,5)+(COUNTIFS(Data!H$2:H$500,"Є учасником судових проваджень і представляєте особисто себе",Data!BN$2:BN$500,4)+(COUNTIFS(Data!H$2:H$500,"Є учасником судових проваджень і представляєте особисто себе",Data!BN$2:BN$500,3)+(COUNTIFS(Data!H$2:H$500,"Є учасником судових проваджень і представляєте особисто себе",Data!BN$2:BN$500,2)+(COUNTIFS(Data!H$2:H$500,"Є учасником судових проваджень і представляєте особисто себе",Data!BN$2:BN$500,1))))))</f>
        <v>5</v>
      </c>
      <c r="G74" s="28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4" x14ac:dyDescent="0.3">
      <c r="A75" s="168" t="s">
        <v>118</v>
      </c>
      <c r="B75" s="135"/>
      <c r="C75" s="135"/>
      <c r="D75" s="135"/>
      <c r="E75" s="136"/>
      <c r="F75" s="72" t="e">
        <f>((COUNTIFS(Data!H$2:H$500,"Є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юрист-консультантом)",Data!BN$2:BN$500,5)*5)+(COUNTIFS(Data!H$2:H$500,"Є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юрист-консультантом)",Data!BN$2:BN$500,4)*4)+(COUNTIFS(Data!H$2:H$500,"Є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юрист-консультантом)",Data!BN$2:BN$500,3)*3)+(COUNTIFS(Data!H$2:H$500,"Є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юрист-консультантом)",Data!BN$2:BN$500,2)*2)+(COUNTIFS(Data!H$2:H$500,"Є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юрист-консультантом)",Data!BN$2:BN$500,1)*1))/(COUNTIFS(Data!H$2:H$500,"Є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юрист-консультантом)",Data!BN$2:BN$500,5)+(COUNTIFS(Data!H$2:H$500,"Є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юрист-консультантом)",Data!BN$2:BN$500,4)+(COUNTIFS(Data!H$2:H$500,"Є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юрист-консультантом)",Data!BN$2:BN$500,3)+(COUNTIFS(Data!H$2:H$500,"Є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юрист-консультантом)",Data!BN$2:BN$500,2)+(COUNTIFS(Data!H$2:H$500,"Є учасником судових проваджень, але представляєте іншу фізичну чи юридичну особу (є адвокатом, представником прокуратури, юрист-консультантом)",Data!BN$2:BN$500,1))))))</f>
        <v>#DIV/0!</v>
      </c>
      <c r="G75" s="28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4" x14ac:dyDescent="0.3">
      <c r="A76" s="168" t="s">
        <v>121</v>
      </c>
      <c r="B76" s="135"/>
      <c r="C76" s="135"/>
      <c r="D76" s="135"/>
      <c r="E76" s="136"/>
      <c r="F76" s="72" t="e">
        <f>((COUNTIFS(Data!H$2:H$500,"Не є учасником судових проваджень",Data!BN$2:BN$500,5)*5)+(COUNTIFS(Data!H$2:H$500,"Не є учасником судових проваджень",Data!BN$2:BN$500,4)*4)+(COUNTIFS(Data!H$2:H$500,"Не є учасником судових проваджень",Data!BN$2:BN$500,3)*3)+(COUNTIFS(Data!H$2:H$500,"Не є учасником судових проваджень",Data!BN$2:BN$500,2)*2)+(COUNTIFS(Data!H$2:H$500,"Не є учасником судових проваджень",Data!BN$2:BN$500,1)*1))/(COUNTIFS(Data!H$2:H$500,"Не є учасником судових проваджень",Data!BN$2:BN$500,5)+(COUNTIFS(Data!H$2:H$500,"Не є учасником судових проваджень",Data!BN$2:BN$500,4)+(COUNTIFS(Data!H$2:H$500,"Не є учасником судових проваджень",Data!BN$2:BN$500,3)+(COUNTIFS(Data!H$2:H$500,"Не є учасником судових проваджень",Data!BN$2:BN$500,2)+(COUNTIFS(Data!H$2:H$500,"Не є учасником судових проваджень",Data!BN$2:BN$500,1))))))</f>
        <v>#DIV/0!</v>
      </c>
      <c r="G76" s="28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4" x14ac:dyDescent="0.3">
      <c r="A77" s="168" t="s">
        <v>100</v>
      </c>
      <c r="B77" s="135"/>
      <c r="C77" s="135"/>
      <c r="D77" s="135"/>
      <c r="E77" s="136"/>
      <c r="F77" s="72" t="e">
        <f>((COUNTIFS(Data!H$2:H$500,"Інше",Data!BN$2:BN$500,5)*5)+(COUNTIFS(Data!H$2:H$500,"Інше",Data!BN$2:BN$500,4)*4)+(COUNTIFS(Data!H$2:H$500,"Інше",Data!BN$2:BN$500,3)*3)+(COUNTIFS(Data!H$2:H$500,"Інше",Data!BN$2:BN$500,2)*2)+(COUNTIFS(Data!H$2:H$500,"Інше",Data!BN$2:BN$500,1)*1))/(COUNTIFS(Data!H$2:H$500,"Інше",Data!BN$2:BN$500,5)+(COUNTIFS(Data!H$2:H$500,"Інше",Data!BN$2:BN$500,4)+(COUNTIFS(Data!H$2:H$500,"Інше",Data!BN$2:BN$500,3)+(COUNTIFS(Data!H$2:H$500,"Інше",Data!BN$2:BN$500,2)+(COUNTIFS(Data!H$2:H$500,"Інше",Data!BN$2:BN$500,1))))))</f>
        <v>#DIV/0!</v>
      </c>
      <c r="G77" s="28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4" x14ac:dyDescent="0.3">
      <c r="A78" s="165" t="s">
        <v>126</v>
      </c>
      <c r="B78" s="135"/>
      <c r="C78" s="135"/>
      <c r="D78" s="135"/>
      <c r="E78" s="136"/>
      <c r="F78" s="59" t="e">
        <f>((COUNTIFS(Data!I$2:I$500,"Цивільний процес",Data!BN$2:BN$500,5)*5)+(COUNTIFS(Data!I$2:I$500,"Цивільний процес",Data!BN$2:BN$500,4)*4)+(COUNTIFS(Data!I$2:I$500,"Цивільний процес",Data!BN$2:BN$500,3)*3)+(COUNTIFS(Data!I$2:I$500,"Цивільний процес",Data!BN$2:BN$500,2)*2)+(COUNTIFS(Data!I$2:I$500,"Цивільний процес",Data!BN$2:BN$500,1)*1))/(COUNTIFS(Data!I$2:I$500,"Цивільний процес",Data!BN$2:BN$500,5)+(COUNTIFS(Data!I$2:I$500,"Цивільний процес",Data!BN$2:BN$500,4)+(COUNTIFS(Data!I$2:I$500,"Цивільний процес",Data!BN$2:BN$500,3)+(COUNTIFS(Data!I$2:I$500,"Цивільний процес",Data!BN$2:BN$500,2)+(COUNTIFS(Data!I$2:I$500,"Цивільний процес",Data!BN$2:BN$500,1))))))</f>
        <v>#DIV/0!</v>
      </c>
      <c r="G78" s="28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4" x14ac:dyDescent="0.3">
      <c r="A79" s="165" t="s">
        <v>128</v>
      </c>
      <c r="B79" s="135"/>
      <c r="C79" s="135"/>
      <c r="D79" s="135"/>
      <c r="E79" s="136"/>
      <c r="F79" s="59">
        <f>((COUNTIFS(Data!I$2:I$500,"Кримінальний процес",Data!BN$2:BN$500,5)*5)+(COUNTIFS(Data!I$2:I$500,"Кримінальний процес",Data!BN$2:BN$500,4)*4)+(COUNTIFS(Data!I$2:I$500,"Кримінальний процес",Data!BN$2:BN$500,3)*3)+(COUNTIFS(Data!I$2:I$500,"Кримінальний процес",Data!BN$2:BN$500,2)*2)+(COUNTIFS(Data!I$2:I$500,"Кримінальний процес",Data!BN$2:BN$500,1)*1))/(COUNTIFS(Data!I$2:I$500,"Кримінальний процес",Data!BN$2:BN$500,5)+(COUNTIFS(Data!I$2:I$500,"Кримінальний процес",Data!BN$2:BN$500,4)+(COUNTIFS(Data!I$2:I$500,"Кримінальний процес",Data!BN$2:BN$500,3)+(COUNTIFS(Data!I$2:I$500,"Кримінальний процес",Data!BN$2:BN$500,2)+(COUNTIFS(Data!I$2:I$500,"Кримінальний процес",Data!BN$2:BN$500,1))))))</f>
        <v>5</v>
      </c>
      <c r="G79" s="28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4" x14ac:dyDescent="0.3">
      <c r="A80" s="165" t="s">
        <v>131</v>
      </c>
      <c r="B80" s="135"/>
      <c r="C80" s="135"/>
      <c r="D80" s="135"/>
      <c r="E80" s="136"/>
      <c r="F80" s="59" t="e">
        <f>((COUNTIFS(Data!I$2:I$500,"Адміністративний процес",Data!BN$2:BN$500,5)*5)+(COUNTIFS(Data!I$2:I$500,"Адміністративний процес",Data!BN$2:BN$500,4)*4)+(COUNTIFS(Data!I$2:I$500,"Адміністративний процес",Data!BN$2:BN$500,3)*3)+(COUNTIFS(Data!I$2:I$500,"Адміністративний процес",Data!BN$2:BN$500,2)*2)+(COUNTIFS(Data!I$2:I$500,"Адміністративний процес",Data!BN$2:BN$500,1)*1))/(COUNTIFS(Data!I$2:I$500,"Адміністративний процес",Data!BN$2:BN$500,5)+(COUNTIFS(Data!I$2:I$500,"Адміністративний процес",Data!BN$2:BN$500,4)+(COUNTIFS(Data!I$2:I$500,"Адміністративний процес",Data!BN$2:BN$500,3)+(COUNTIFS(Data!I$2:I$500,"Адміністративний процес",Data!BN$2:BN$500,2)+(COUNTIFS(Data!I$2:I$500,"Адміністративний процес",Data!BN$2:BN$500,1))))))</f>
        <v>#DIV/0!</v>
      </c>
      <c r="G80" s="28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4" x14ac:dyDescent="0.3">
      <c r="A81" s="165" t="s">
        <v>133</v>
      </c>
      <c r="B81" s="135"/>
      <c r="C81" s="135"/>
      <c r="D81" s="135"/>
      <c r="E81" s="136"/>
      <c r="F81" s="59" t="e">
        <f>((COUNTIFS(Data!I$2:I$500,"Господарський процес",Data!BN$2:BN$500,5)*5)+(COUNTIFS(Data!I$2:I$500,"Господарський процес",Data!BN$2:BN$500,4)*4)+(COUNTIFS(Data!I$2:I$500,"Господарський процес",Data!BN$2:BN$500,3)*3)+(COUNTIFS(Data!I$2:I$500,"Господарський процес",Data!BN$2:BN$500,2)*2)+(COUNTIFS(Data!I$2:I$500,"Господарський процес",Data!BN$2:BN$500,1)*1))/(COUNTIFS(Data!I$2:I$500,"Господарський процес",Data!BN$2:BN$500,5)+(COUNTIFS(Data!I$2:I$500,"Господарський процес",Data!BN$2:BN$500,4)+(COUNTIFS(Data!I$2:I$500,"Господарський процес",Data!BN$2:BN$500,3)+(COUNTIFS(Data!I$2:I$500,"Господарський процес",Data!BN$2:BN$500,2)+(COUNTIFS(Data!I$2:I$500,"Господарський процес",Data!BN$2:BN$500,1))))))</f>
        <v>#DIV/0!</v>
      </c>
      <c r="G81" s="28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4" x14ac:dyDescent="0.3">
      <c r="A82" s="165" t="s">
        <v>135</v>
      </c>
      <c r="B82" s="135"/>
      <c r="C82" s="135"/>
      <c r="D82" s="135"/>
      <c r="E82" s="136"/>
      <c r="F82" s="59" t="e">
        <f>((COUNTIFS(Data!I$2:I$500,"Справа про адміністративні  правопорушення",Data!BN$2:BN$500,5)*5)+(COUNTIFS(Data!I$2:I$500,"Справа про адміністративні  правопорушення",Data!BN$2:BN$500,4)*4)+(COUNTIFS(Data!I$2:I$500,"Справа про адміністративні  правопорушення",Data!BN$2:BN$500,3)*3)+(COUNTIFS(Data!I$2:I$500,"Справа про адміністративні  правопорушення",Data!BN$2:BN$500,2)*2)+(COUNTIFS(Data!I$2:I$500,"Справа про адміністративні  правопорушення",Data!BN$2:BN$500,1)*1))/(COUNTIFS(Data!I$2:I$500,"Справа про адміністративні  правопорушення",Data!BN$2:BN$500,5)+(COUNTIFS(Data!I$2:I$500,"Справа про адміністративні  правопорушення",Data!BN$2:BN$500,4)+(COUNTIFS(Data!I$2:I$500,"Справа про адміністративні  правопорушення",Data!BN$2:BN$500,3)+(COUNTIFS(Data!I$2:I$500,"Справа про адміністративні  правопорушення",Data!BN$2:BN$500,2)+(COUNTIFS(Data!I$2:I$500,"Справа про адміністративні  правопорушення",Data!BN$2:BN$500,1))))))</f>
        <v>#DIV/0!</v>
      </c>
      <c r="G82" s="28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6" x14ac:dyDescent="0.3">
      <c r="A83" s="65"/>
      <c r="B83" s="65"/>
      <c r="C83" s="65"/>
      <c r="D83" s="65"/>
      <c r="E83" s="65"/>
      <c r="F83" s="1"/>
      <c r="G83" s="28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6" x14ac:dyDescent="0.3">
      <c r="A84" s="65"/>
      <c r="B84" s="65"/>
      <c r="C84" s="65"/>
      <c r="D84" s="65"/>
      <c r="E84" s="65"/>
      <c r="F84" s="1"/>
      <c r="G84" s="28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6" x14ac:dyDescent="0.3">
      <c r="A85" s="65"/>
      <c r="B85" s="65"/>
      <c r="C85" s="65"/>
      <c r="D85" s="65"/>
      <c r="E85" s="65"/>
      <c r="F85" s="1"/>
      <c r="G85" s="28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6" x14ac:dyDescent="0.3">
      <c r="A86" s="65"/>
      <c r="B86" s="65"/>
      <c r="C86" s="65"/>
      <c r="D86" s="65"/>
      <c r="E86" s="65"/>
      <c r="F86" s="1"/>
      <c r="G86" s="28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6" x14ac:dyDescent="0.3">
      <c r="A87" s="65"/>
      <c r="B87" s="65"/>
      <c r="C87" s="65"/>
      <c r="D87" s="65"/>
      <c r="E87" s="65"/>
      <c r="F87" s="1"/>
      <c r="G87" s="28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6" x14ac:dyDescent="0.3">
      <c r="A88" s="65"/>
      <c r="B88" s="65"/>
      <c r="C88" s="65"/>
      <c r="D88" s="65"/>
      <c r="E88" s="65"/>
      <c r="F88" s="1"/>
      <c r="G88" s="28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6" x14ac:dyDescent="0.3">
      <c r="A89" s="65"/>
      <c r="B89" s="65"/>
      <c r="C89" s="65"/>
      <c r="D89" s="65"/>
      <c r="E89" s="65"/>
      <c r="F89" s="1"/>
      <c r="G89" s="28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2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2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2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2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2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2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2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2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2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2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2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2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2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2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2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2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2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2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2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2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2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2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2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2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2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2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2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2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2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2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2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2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2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2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2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2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2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2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2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2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2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2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2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2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2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2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2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2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2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2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2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2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2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2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2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2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2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2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2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2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2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2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2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2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2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2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2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2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2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2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2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2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2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2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2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2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2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2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2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2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2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2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2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2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2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2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2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2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2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2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2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2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2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2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2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2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2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2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2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2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2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2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2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2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2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2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2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2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2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2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2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2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2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2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2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2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2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2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2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2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2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2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2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2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2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2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2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2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2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2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2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2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2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2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2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2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2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2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2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2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2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2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2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2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2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2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2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2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2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2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2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2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2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2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2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2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2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2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2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2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2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2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2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2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2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2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2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2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2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2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2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2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2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2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2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2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2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2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2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2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2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2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2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2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2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2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2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2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2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2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2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2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2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2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2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2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2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2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2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2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2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2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2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2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2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2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2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2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2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2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2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2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2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2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2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2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2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2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2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2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2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2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2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2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2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2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2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2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2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2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2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2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2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2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2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2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2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2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2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2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2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2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2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2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2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2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2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2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2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2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2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2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2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2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2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2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2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2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2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2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2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2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2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2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2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2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2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2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2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2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2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2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2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2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2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2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2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2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2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2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2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2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2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2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2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2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2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2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2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2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2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2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2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2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2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2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2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2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2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2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2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2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2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2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2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2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2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2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2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2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2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2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2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2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2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2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2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2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2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2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2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2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2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2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2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2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2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2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2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2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2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2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2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2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2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2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2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2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2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2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2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2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2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2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2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2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2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2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2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2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2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2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2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2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2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2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2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2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2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2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2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2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2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2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2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2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2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2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2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2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2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2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2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2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2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2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2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2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2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2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2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2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2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2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2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2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2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2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2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2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2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2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2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2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2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2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2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2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2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2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2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2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2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2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2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2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2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2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2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2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2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2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2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2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2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2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2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2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2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2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2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2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2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2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2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2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2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2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2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2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2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2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2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2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2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2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2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2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2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2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2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2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2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2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2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2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2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2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2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2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2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2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2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2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2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2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2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2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2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2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2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2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2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2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2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2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2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2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2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2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2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2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2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2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2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2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2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2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2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2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2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2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2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2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2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2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2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2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2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2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2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2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2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2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2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2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2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2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2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2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2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2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2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2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2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2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2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2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2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2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2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2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2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2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2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2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2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2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2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2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2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2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2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2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2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2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2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2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2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2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2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2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2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2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2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2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2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2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2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2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2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2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2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2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2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2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2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2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2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2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2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2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2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2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2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2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2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2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2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2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2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2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2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2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2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2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2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2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2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2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2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2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2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2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2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2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2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2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2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2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2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2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2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2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2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2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2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2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2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2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2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2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2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2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2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2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2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2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2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2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2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2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2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2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2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2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2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2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2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2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2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2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2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2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2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2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2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2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2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2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2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2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2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2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2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2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2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2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2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2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2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2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2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2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2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2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2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2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2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2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2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2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2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2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2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2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2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2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2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2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2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2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2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2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2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2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2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2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2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2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2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2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2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2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2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2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2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2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2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2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2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2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2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2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2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2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2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2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2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2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2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2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2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2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2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2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2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2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2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2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2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2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2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2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2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2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2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2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2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2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2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2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2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2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2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2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2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2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2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2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2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2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2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2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2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2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2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2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2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2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2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2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2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2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2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2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2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2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2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2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2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2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2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2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2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2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2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2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2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2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2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2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2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2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2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2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2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2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2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2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2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2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2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2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2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2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2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2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2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2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2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2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2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2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2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2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2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2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2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2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2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2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2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2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2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2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2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2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2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2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2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2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2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2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2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2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2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2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2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2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2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2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2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2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2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2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2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</sheetData>
  <mergeCells count="42">
    <mergeCell ref="A47:E47"/>
    <mergeCell ref="A48:E48"/>
    <mergeCell ref="A46:E46"/>
    <mergeCell ref="A53:E53"/>
    <mergeCell ref="A54:E54"/>
    <mergeCell ref="A50:E50"/>
    <mergeCell ref="A51:E51"/>
    <mergeCell ref="A52:E52"/>
    <mergeCell ref="A57:E57"/>
    <mergeCell ref="A58:E58"/>
    <mergeCell ref="A56:E56"/>
    <mergeCell ref="A68:E68"/>
    <mergeCell ref="A66:E66"/>
    <mergeCell ref="A65:E65"/>
    <mergeCell ref="A63:E63"/>
    <mergeCell ref="A61:E61"/>
    <mergeCell ref="A62:E62"/>
    <mergeCell ref="A64:E64"/>
    <mergeCell ref="A5:F5"/>
    <mergeCell ref="A75:E75"/>
    <mergeCell ref="A74:E74"/>
    <mergeCell ref="A69:E69"/>
    <mergeCell ref="A70:E70"/>
    <mergeCell ref="A72:E72"/>
    <mergeCell ref="A71:E71"/>
    <mergeCell ref="A67:E67"/>
    <mergeCell ref="A38:E38"/>
    <mergeCell ref="A31:E31"/>
    <mergeCell ref="A12:F12"/>
    <mergeCell ref="A20:E20"/>
    <mergeCell ref="A55:E55"/>
    <mergeCell ref="A49:E49"/>
    <mergeCell ref="A59:E59"/>
    <mergeCell ref="A60:E60"/>
    <mergeCell ref="A76:E76"/>
    <mergeCell ref="A73:E73"/>
    <mergeCell ref="A77:E77"/>
    <mergeCell ref="A81:E81"/>
    <mergeCell ref="A82:E82"/>
    <mergeCell ref="A80:E80"/>
    <mergeCell ref="A79:E79"/>
    <mergeCell ref="A78:E7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F47"/>
  <sheetViews>
    <sheetView workbookViewId="0"/>
  </sheetViews>
  <sheetFormatPr defaultColWidth="14.44140625" defaultRowHeight="15.75" customHeight="1" x14ac:dyDescent="0.25"/>
  <cols>
    <col min="1" max="1" width="78" customWidth="1"/>
  </cols>
  <sheetData>
    <row r="1" spans="1:6" ht="14.4" x14ac:dyDescent="0.3">
      <c r="A1" s="162" t="s">
        <v>310</v>
      </c>
      <c r="B1" s="135"/>
      <c r="C1" s="135"/>
      <c r="D1" s="135"/>
      <c r="E1" s="136"/>
      <c r="F1" s="63">
        <f>Block1!F74</f>
        <v>4.25</v>
      </c>
    </row>
    <row r="2" spans="1:6" ht="14.4" x14ac:dyDescent="0.3">
      <c r="A2" s="162" t="s">
        <v>311</v>
      </c>
      <c r="B2" s="135"/>
      <c r="C2" s="135"/>
      <c r="D2" s="135"/>
      <c r="E2" s="136"/>
      <c r="F2" s="63">
        <f>Block1!F75</f>
        <v>5</v>
      </c>
    </row>
    <row r="3" spans="1:6" ht="14.4" x14ac:dyDescent="0.3">
      <c r="A3" s="162" t="s">
        <v>312</v>
      </c>
      <c r="B3" s="135"/>
      <c r="C3" s="135"/>
      <c r="D3" s="135"/>
      <c r="E3" s="136"/>
      <c r="F3" s="63">
        <f>Block1!F76</f>
        <v>4.8</v>
      </c>
    </row>
    <row r="4" spans="1:6" ht="14.4" x14ac:dyDescent="0.3">
      <c r="A4" s="162" t="s">
        <v>313</v>
      </c>
      <c r="B4" s="135"/>
      <c r="C4" s="135"/>
      <c r="D4" s="135"/>
      <c r="E4" s="136"/>
      <c r="F4" s="63">
        <f>Block1!F77</f>
        <v>4.6363636363636367</v>
      </c>
    </row>
    <row r="5" spans="1:6" ht="14.4" x14ac:dyDescent="0.3">
      <c r="A5" s="162" t="s">
        <v>314</v>
      </c>
      <c r="B5" s="135"/>
      <c r="C5" s="135"/>
      <c r="D5" s="135"/>
      <c r="E5" s="136"/>
      <c r="F5" s="63" t="e">
        <f>Block1!F78</f>
        <v>#DIV/0!</v>
      </c>
    </row>
    <row r="6" spans="1:6" ht="14.4" x14ac:dyDescent="0.3">
      <c r="A6" s="162" t="s">
        <v>93</v>
      </c>
      <c r="B6" s="135"/>
      <c r="C6" s="135"/>
      <c r="D6" s="135"/>
      <c r="E6" s="136"/>
      <c r="F6" s="63">
        <f>Block1!F79</f>
        <v>5</v>
      </c>
    </row>
    <row r="7" spans="1:6" ht="14.4" x14ac:dyDescent="0.3">
      <c r="A7" s="168" t="s">
        <v>315</v>
      </c>
      <c r="B7" s="135"/>
      <c r="C7" s="135"/>
      <c r="D7" s="135"/>
      <c r="E7" s="136"/>
      <c r="F7" s="72">
        <f>Block1!F80</f>
        <v>4.7692307692307692</v>
      </c>
    </row>
    <row r="8" spans="1:6" ht="14.4" x14ac:dyDescent="0.3">
      <c r="A8" s="168" t="s">
        <v>316</v>
      </c>
      <c r="B8" s="135"/>
      <c r="C8" s="135"/>
      <c r="D8" s="135"/>
      <c r="E8" s="136"/>
      <c r="F8" s="72">
        <f>Block1!F81</f>
        <v>4.666666666666667</v>
      </c>
    </row>
    <row r="9" spans="1:6" ht="14.4" x14ac:dyDescent="0.3">
      <c r="A9" s="168" t="s">
        <v>98</v>
      </c>
      <c r="B9" s="135"/>
      <c r="C9" s="135"/>
      <c r="D9" s="135"/>
      <c r="E9" s="136"/>
      <c r="F9" s="72">
        <f>Block1!F82</f>
        <v>4</v>
      </c>
    </row>
    <row r="10" spans="1:6" ht="14.4" x14ac:dyDescent="0.3">
      <c r="A10" s="168" t="s">
        <v>317</v>
      </c>
      <c r="B10" s="135"/>
      <c r="C10" s="135"/>
      <c r="D10" s="135"/>
      <c r="E10" s="136"/>
      <c r="F10" s="72">
        <f>Block1!F83</f>
        <v>5</v>
      </c>
    </row>
    <row r="11" spans="1:6" ht="14.4" x14ac:dyDescent="0.3">
      <c r="A11" s="165" t="s">
        <v>102</v>
      </c>
      <c r="B11" s="135"/>
      <c r="C11" s="135"/>
      <c r="D11" s="135"/>
      <c r="E11" s="136"/>
      <c r="F11" s="72">
        <f>Block1!F84</f>
        <v>4.6875</v>
      </c>
    </row>
    <row r="12" spans="1:6" ht="14.4" x14ac:dyDescent="0.3">
      <c r="A12" s="165" t="s">
        <v>104</v>
      </c>
      <c r="B12" s="135"/>
      <c r="C12" s="135"/>
      <c r="D12" s="135"/>
      <c r="E12" s="136"/>
      <c r="F12" s="72">
        <f>Block1!F85</f>
        <v>5</v>
      </c>
    </row>
    <row r="13" spans="1:6" ht="14.4" x14ac:dyDescent="0.3">
      <c r="A13" s="165" t="s">
        <v>105</v>
      </c>
      <c r="B13" s="135"/>
      <c r="C13" s="135"/>
      <c r="D13" s="135"/>
      <c r="E13" s="136"/>
      <c r="F13" s="72">
        <f>Block1!F86</f>
        <v>4.5</v>
      </c>
    </row>
    <row r="14" spans="1:6" ht="14.4" x14ac:dyDescent="0.3">
      <c r="A14" s="165" t="s">
        <v>107</v>
      </c>
      <c r="B14" s="135"/>
      <c r="C14" s="135"/>
      <c r="D14" s="135"/>
      <c r="E14" s="136"/>
      <c r="F14" s="72" t="e">
        <f>Block1!F87</f>
        <v>#DIV/0!</v>
      </c>
    </row>
    <row r="15" spans="1:6" ht="14.4" x14ac:dyDescent="0.3">
      <c r="A15" s="165" t="s">
        <v>109</v>
      </c>
      <c r="B15" s="135"/>
      <c r="C15" s="135"/>
      <c r="D15" s="135"/>
      <c r="E15" s="136"/>
      <c r="F15" s="72">
        <f>Block1!F88</f>
        <v>5</v>
      </c>
    </row>
    <row r="19" spans="1:2" ht="15.75" customHeight="1" x14ac:dyDescent="0.25">
      <c r="A19" s="110" t="s">
        <v>119</v>
      </c>
      <c r="B19" s="56">
        <f>Block2!H8</f>
        <v>4.9642857142857144</v>
      </c>
    </row>
    <row r="20" spans="1:2" ht="15.75" customHeight="1" x14ac:dyDescent="0.25">
      <c r="A20" s="110" t="s">
        <v>318</v>
      </c>
      <c r="B20" s="56">
        <f>Block2!H9</f>
        <v>4.2777777777777777</v>
      </c>
    </row>
    <row r="21" spans="1:2" ht="15.75" customHeight="1" x14ac:dyDescent="0.25">
      <c r="A21" s="110" t="s">
        <v>319</v>
      </c>
      <c r="B21" s="56">
        <f>Block2!H10</f>
        <v>4.7727272727272725</v>
      </c>
    </row>
    <row r="22" spans="1:2" ht="13.8" x14ac:dyDescent="0.25">
      <c r="A22" s="110" t="s">
        <v>320</v>
      </c>
      <c r="B22" s="56">
        <f>Block2!H11</f>
        <v>4.8571428571428568</v>
      </c>
    </row>
    <row r="23" spans="1:2" ht="27.6" x14ac:dyDescent="0.25">
      <c r="A23" s="110" t="s">
        <v>321</v>
      </c>
      <c r="B23" s="56">
        <f>Block2!H12</f>
        <v>4.1724137931034484</v>
      </c>
    </row>
    <row r="24" spans="1:2" ht="27.6" x14ac:dyDescent="0.25">
      <c r="A24" s="110" t="s">
        <v>129</v>
      </c>
      <c r="B24" s="56">
        <f>Block2!H13</f>
        <v>4.4615384615384617</v>
      </c>
    </row>
    <row r="25" spans="1:2" ht="27.6" x14ac:dyDescent="0.25">
      <c r="A25" s="110" t="s">
        <v>130</v>
      </c>
      <c r="B25" s="56">
        <f>Block2!H14</f>
        <v>4.5384615384615383</v>
      </c>
    </row>
    <row r="26" spans="1:2" ht="27.6" x14ac:dyDescent="0.25">
      <c r="A26" s="113" t="s">
        <v>322</v>
      </c>
      <c r="B26" s="56">
        <f>Block2!H15</f>
        <v>4.7142857142857144</v>
      </c>
    </row>
    <row r="27" spans="1:2" ht="13.8" x14ac:dyDescent="0.25">
      <c r="A27" s="110" t="s">
        <v>323</v>
      </c>
      <c r="B27" s="56">
        <f>Block2!H16</f>
        <v>3.5909090909090908</v>
      </c>
    </row>
    <row r="28" spans="1:2" ht="13.2" x14ac:dyDescent="0.25">
      <c r="A28" s="8"/>
    </row>
    <row r="29" spans="1:2" ht="27.6" x14ac:dyDescent="0.25">
      <c r="A29" s="110" t="s">
        <v>324</v>
      </c>
      <c r="B29" s="56">
        <f>Block2!H26</f>
        <v>4.8</v>
      </c>
    </row>
    <row r="30" spans="1:2" ht="13.8" x14ac:dyDescent="0.25">
      <c r="A30" s="110" t="s">
        <v>325</v>
      </c>
      <c r="B30" s="56">
        <f>Block2!H27</f>
        <v>4.7586206896551726</v>
      </c>
    </row>
    <row r="31" spans="1:2" ht="13.8" x14ac:dyDescent="0.25">
      <c r="A31" s="110" t="s">
        <v>326</v>
      </c>
      <c r="B31" s="56">
        <f>Block2!H28</f>
        <v>4.8620689655172411</v>
      </c>
    </row>
    <row r="32" spans="1:2" ht="13.8" x14ac:dyDescent="0.25">
      <c r="A32" s="110" t="s">
        <v>327</v>
      </c>
      <c r="B32" s="56">
        <f>Block2!H29</f>
        <v>4.9000000000000004</v>
      </c>
    </row>
    <row r="34" spans="1:2" ht="15" x14ac:dyDescent="0.25">
      <c r="A34" s="121" t="s">
        <v>144</v>
      </c>
      <c r="B34" s="112">
        <f>Block2!H36</f>
        <v>4.8</v>
      </c>
    </row>
    <row r="35" spans="1:2" ht="27.6" x14ac:dyDescent="0.25">
      <c r="A35" s="110" t="s">
        <v>328</v>
      </c>
      <c r="B35" s="112">
        <f>Block2!H38</f>
        <v>4.9000000000000004</v>
      </c>
    </row>
    <row r="36" spans="1:2" ht="27.6" x14ac:dyDescent="0.25">
      <c r="A36" s="110" t="s">
        <v>329</v>
      </c>
      <c r="B36" s="112">
        <f>Block2!H39</f>
        <v>4.8965517241379306</v>
      </c>
    </row>
    <row r="37" spans="1:2" ht="13.8" x14ac:dyDescent="0.25">
      <c r="A37" s="110" t="s">
        <v>330</v>
      </c>
      <c r="B37" s="112">
        <f>Block2!H40</f>
        <v>4.8275862068965516</v>
      </c>
    </row>
    <row r="38" spans="1:2" ht="27.6" x14ac:dyDescent="0.25">
      <c r="A38" s="110" t="s">
        <v>331</v>
      </c>
      <c r="B38" s="112">
        <f>Block2!H41</f>
        <v>4.7586206896551726</v>
      </c>
    </row>
    <row r="39" spans="1:2" ht="27.6" x14ac:dyDescent="0.25">
      <c r="A39" s="110" t="s">
        <v>332</v>
      </c>
      <c r="B39" s="112">
        <f>Block2!H42</f>
        <v>4.7037037037037033</v>
      </c>
    </row>
    <row r="40" spans="1:2" ht="13.8" x14ac:dyDescent="0.25">
      <c r="A40" s="110" t="s">
        <v>153</v>
      </c>
      <c r="B40" s="112">
        <f>Block2!H44</f>
        <v>4.125</v>
      </c>
    </row>
    <row r="43" spans="1:2" ht="15" x14ac:dyDescent="0.25">
      <c r="A43" s="53" t="s">
        <v>155</v>
      </c>
      <c r="B43" s="56">
        <f>Block2!H51</f>
        <v>4.6071428571428568</v>
      </c>
    </row>
    <row r="44" spans="1:2" ht="45" x14ac:dyDescent="0.25">
      <c r="A44" s="53" t="s">
        <v>156</v>
      </c>
      <c r="B44" s="56">
        <f>Block2!H52</f>
        <v>4.68</v>
      </c>
    </row>
    <row r="45" spans="1:2" ht="27.6" x14ac:dyDescent="0.25">
      <c r="A45" s="110" t="s">
        <v>333</v>
      </c>
      <c r="B45" s="56">
        <f>Block2!H54</f>
        <v>4.8888888888888893</v>
      </c>
    </row>
    <row r="46" spans="1:2" ht="27.6" x14ac:dyDescent="0.25">
      <c r="A46" s="110" t="s">
        <v>334</v>
      </c>
      <c r="B46" s="56">
        <f>Block2!H55</f>
        <v>4.8518518518518521</v>
      </c>
    </row>
    <row r="47" spans="1:2" ht="27.6" x14ac:dyDescent="0.25">
      <c r="A47" s="110" t="s">
        <v>335</v>
      </c>
      <c r="B47" s="56">
        <f>Block2!H56</f>
        <v>4.8571428571428568</v>
      </c>
    </row>
  </sheetData>
  <mergeCells count="15">
    <mergeCell ref="A14:E14"/>
    <mergeCell ref="A15:E15"/>
    <mergeCell ref="A9:E9"/>
    <mergeCell ref="A7:E7"/>
    <mergeCell ref="A6:E6"/>
    <mergeCell ref="A8:E8"/>
    <mergeCell ref="A10:E10"/>
    <mergeCell ref="A11:E11"/>
    <mergeCell ref="A12:E12"/>
    <mergeCell ref="A13:E13"/>
    <mergeCell ref="A1:E1"/>
    <mergeCell ref="A4:E4"/>
    <mergeCell ref="A2:E2"/>
    <mergeCell ref="A3:E3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SORS_report</vt:lpstr>
      <vt:lpstr>recom</vt:lpstr>
      <vt:lpstr>Block1</vt:lpstr>
      <vt:lpstr>Block1_charts</vt:lpstr>
      <vt:lpstr>Block2</vt:lpstr>
      <vt:lpstr>Block2_charts</vt:lpstr>
      <vt:lpstr>Data</vt:lpstr>
      <vt:lpstr>Block3</vt:lpstr>
      <vt:lpstr>srv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Цвітана</cp:lastModifiedBy>
  <dcterms:modified xsi:type="dcterms:W3CDTF">2019-06-27T07:21:42Z</dcterms:modified>
</cp:coreProperties>
</file>